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yulli\Google Drive\SCRD casa\2022\"/>
    </mc:Choice>
  </mc:AlternateContent>
  <bookViews>
    <workbookView xWindow="0" yWindow="0" windowWidth="19200" windowHeight="693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r:id="rId8"/>
    <sheet name="Opciones Tratamiento" sheetId="16" r:id="rId9"/>
    <sheet name="Hoja1" sheetId="11" state="hidden" r:id="rId10"/>
  </sheets>
  <calcPr calcId="162913"/>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1" i="1" l="1"/>
  <c r="J11" i="1"/>
  <c r="G26" i="21"/>
  <c r="V11" i="1" l="1"/>
  <c r="K11" i="1"/>
  <c r="M42" i="1"/>
  <c r="M22" i="1"/>
  <c r="M31" i="1"/>
  <c r="M43" i="1"/>
  <c r="M27" i="1"/>
  <c r="M34" i="1"/>
  <c r="M18" i="1"/>
  <c r="M38" i="1"/>
  <c r="M21" i="1"/>
  <c r="M37" i="1"/>
  <c r="M57" i="1"/>
  <c r="M56" i="1"/>
  <c r="M45" i="1"/>
  <c r="M44" i="1"/>
  <c r="M55" i="1"/>
  <c r="M46" i="1"/>
  <c r="M58" i="1"/>
  <c r="M52" i="1"/>
  <c r="M51" i="1"/>
  <c r="M20" i="1"/>
  <c r="M40" i="1"/>
  <c r="M26" i="1"/>
  <c r="M49" i="1"/>
  <c r="M28" i="1"/>
  <c r="M54" i="1"/>
  <c r="M32" i="1"/>
  <c r="M24" i="1"/>
  <c r="M36" i="1"/>
  <c r="M33" i="1"/>
  <c r="M25" i="1"/>
  <c r="M30" i="1"/>
  <c r="M48" i="1"/>
  <c r="M50" i="1"/>
  <c r="M19" i="1"/>
  <c r="M39" i="1"/>
  <c r="F221" i="13" l="1"/>
  <c r="F211" i="13"/>
  <c r="F212" i="13"/>
  <c r="F213" i="13"/>
  <c r="F214" i="13"/>
  <c r="F215" i="13"/>
  <c r="F216" i="13"/>
  <c r="F217" i="13"/>
  <c r="F218" i="13"/>
  <c r="F219" i="13"/>
  <c r="F220" i="13"/>
  <c r="F210" i="13"/>
  <c r="B221" i="13" a="1"/>
  <c r="M13" i="1"/>
  <c r="M14" i="1"/>
  <c r="M15" i="1"/>
  <c r="M16" i="1"/>
  <c r="M12" i="1"/>
  <c r="B221" i="13" l="1"/>
  <c r="S41" i="1"/>
  <c r="S36" i="1"/>
  <c r="S30"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58" i="1" l="1"/>
  <c r="S58" i="1"/>
  <c r="V57" i="1"/>
  <c r="S57" i="1"/>
  <c r="V56" i="1"/>
  <c r="S56" i="1"/>
  <c r="V55" i="1"/>
  <c r="S55" i="1"/>
  <c r="V54" i="1"/>
  <c r="S54" i="1"/>
  <c r="V53" i="1"/>
  <c r="S53" i="1"/>
  <c r="J53" i="1"/>
  <c r="K53" i="1" s="1"/>
  <c r="V52" i="1"/>
  <c r="S52" i="1"/>
  <c r="V51" i="1"/>
  <c r="S51" i="1"/>
  <c r="V50" i="1"/>
  <c r="S50" i="1"/>
  <c r="V49" i="1"/>
  <c r="S49" i="1"/>
  <c r="V48" i="1"/>
  <c r="S48" i="1"/>
  <c r="V47" i="1"/>
  <c r="S47" i="1"/>
  <c r="J47" i="1"/>
  <c r="K47" i="1" s="1"/>
  <c r="V46" i="1"/>
  <c r="S46" i="1"/>
  <c r="V45" i="1"/>
  <c r="S45" i="1"/>
  <c r="V44" i="1"/>
  <c r="S44" i="1"/>
  <c r="V43" i="1"/>
  <c r="S43" i="1"/>
  <c r="V42" i="1"/>
  <c r="S42" i="1"/>
  <c r="AD42" i="1" s="1"/>
  <c r="V41" i="1"/>
  <c r="J41" i="1"/>
  <c r="K41" i="1" s="1"/>
  <c r="V40" i="1"/>
  <c r="S40" i="1"/>
  <c r="V39" i="1"/>
  <c r="S39" i="1"/>
  <c r="V38" i="1"/>
  <c r="S38" i="1"/>
  <c r="V37" i="1"/>
  <c r="S37" i="1"/>
  <c r="V36" i="1"/>
  <c r="V35" i="1"/>
  <c r="S35" i="1"/>
  <c r="AD36" i="1" s="1"/>
  <c r="J35" i="1"/>
  <c r="K35" i="1" s="1"/>
  <c r="V34" i="1"/>
  <c r="S34" i="1"/>
  <c r="V33" i="1"/>
  <c r="S33" i="1"/>
  <c r="V32" i="1"/>
  <c r="S32" i="1"/>
  <c r="V31" i="1"/>
  <c r="S31" i="1"/>
  <c r="V30" i="1"/>
  <c r="V29" i="1"/>
  <c r="S29" i="1"/>
  <c r="AD30" i="1" s="1"/>
  <c r="J29" i="1"/>
  <c r="K29" i="1" s="1"/>
  <c r="V28" i="1"/>
  <c r="S28" i="1"/>
  <c r="V27" i="1"/>
  <c r="S27" i="1"/>
  <c r="V26" i="1"/>
  <c r="S26" i="1"/>
  <c r="V25" i="1"/>
  <c r="S25" i="1"/>
  <c r="V24" i="1"/>
  <c r="S24" i="1"/>
  <c r="V23" i="1"/>
  <c r="S23" i="1"/>
  <c r="J23" i="1"/>
  <c r="K23" i="1" s="1"/>
  <c r="V22" i="1"/>
  <c r="S22" i="1"/>
  <c r="V21" i="1"/>
  <c r="S21" i="1"/>
  <c r="V20" i="1"/>
  <c r="S20" i="1"/>
  <c r="V19" i="1"/>
  <c r="S19" i="1"/>
  <c r="V18" i="1"/>
  <c r="S18" i="1"/>
  <c r="V17" i="1"/>
  <c r="S17" i="1"/>
  <c r="J17" i="1"/>
  <c r="K17" i="1" s="1"/>
  <c r="S16" i="1"/>
  <c r="S15" i="1"/>
  <c r="S14" i="1"/>
  <c r="AD18" i="1" l="1"/>
  <c r="AD54" i="1"/>
  <c r="AD24" i="1"/>
  <c r="AD48" i="1"/>
  <c r="AD39" i="1"/>
  <c r="AC39" i="1" s="1"/>
  <c r="AD40" i="1"/>
  <c r="AC40" i="1" s="1"/>
  <c r="Z53" i="1"/>
  <c r="Z47" i="1"/>
  <c r="Z41" i="1"/>
  <c r="Z35" i="1"/>
  <c r="Z39" i="1"/>
  <c r="Z40" i="1"/>
  <c r="Z29" i="1"/>
  <c r="Z23" i="1"/>
  <c r="Z17" i="1"/>
  <c r="AA53" i="1" l="1"/>
  <c r="AB53" i="1"/>
  <c r="Z54" i="1" s="1"/>
  <c r="AA54" i="1" s="1"/>
  <c r="AA47" i="1"/>
  <c r="AB47" i="1"/>
  <c r="Z48" i="1" s="1"/>
  <c r="AB48" i="1" s="1"/>
  <c r="Z49" i="1" s="1"/>
  <c r="AA41" i="1"/>
  <c r="AB41" i="1"/>
  <c r="Z42" i="1" s="1"/>
  <c r="AB42" i="1" s="1"/>
  <c r="Z43" i="1" s="1"/>
  <c r="AA40" i="1"/>
  <c r="AB40" i="1"/>
  <c r="AA39" i="1"/>
  <c r="AB39" i="1"/>
  <c r="AA35" i="1"/>
  <c r="AB35" i="1"/>
  <c r="AA29" i="1"/>
  <c r="AB29" i="1"/>
  <c r="Z30" i="1" s="1"/>
  <c r="AB30" i="1" s="1"/>
  <c r="Z31" i="1" s="1"/>
  <c r="AA23" i="1"/>
  <c r="AB23" i="1"/>
  <c r="AA17" i="1"/>
  <c r="AB17" i="1"/>
  <c r="Z18" i="1" s="1"/>
  <c r="AB18" i="1" s="1"/>
  <c r="Z19" i="1" s="1"/>
  <c r="AA19" i="1" s="1"/>
  <c r="AA48" i="1" l="1"/>
  <c r="AA42" i="1"/>
  <c r="AA30" i="1"/>
  <c r="AA18" i="1"/>
  <c r="AA31" i="1"/>
  <c r="AB31" i="1"/>
  <c r="AB49" i="1"/>
  <c r="Z50" i="1" s="1"/>
  <c r="AA49" i="1"/>
  <c r="AB43" i="1"/>
  <c r="Z44" i="1" s="1"/>
  <c r="AA43" i="1"/>
  <c r="AB54" i="1"/>
  <c r="Z55" i="1" s="1"/>
  <c r="Z24" i="1"/>
  <c r="Z36" i="1"/>
  <c r="Z37" i="1"/>
  <c r="AB19"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39" i="1"/>
  <c r="AE40" i="1"/>
  <c r="V12" i="1"/>
  <c r="V13" i="1"/>
  <c r="V14" i="1"/>
  <c r="V15" i="1"/>
  <c r="V16" i="1"/>
  <c r="AA50" i="1" l="1"/>
  <c r="AB50" i="1"/>
  <c r="AA44" i="1"/>
  <c r="AB44" i="1"/>
  <c r="Z45" i="1" s="1"/>
  <c r="AA37" i="1"/>
  <c r="AB37" i="1"/>
  <c r="Z38" i="1" s="1"/>
  <c r="AA55" i="1"/>
  <c r="AB55" i="1"/>
  <c r="Z56" i="1" s="1"/>
  <c r="AA36" i="1"/>
  <c r="AB36" i="1"/>
  <c r="Z32" i="1"/>
  <c r="AA24" i="1"/>
  <c r="AB24" i="1"/>
  <c r="Z25" i="1" s="1"/>
  <c r="AA25" i="1" s="1"/>
  <c r="Z21" i="1"/>
  <c r="AA21" i="1" s="1"/>
  <c r="Z20" i="1"/>
  <c r="AB25" i="1" l="1"/>
  <c r="Z26" i="1" s="1"/>
  <c r="AB26" i="1" s="1"/>
  <c r="Z27" i="1" s="1"/>
  <c r="AA45" i="1"/>
  <c r="AB45" i="1"/>
  <c r="Z46" i="1" s="1"/>
  <c r="Z51" i="1"/>
  <c r="Z52" i="1"/>
  <c r="AA32" i="1"/>
  <c r="AB32" i="1"/>
  <c r="Z33" i="1" s="1"/>
  <c r="AA33" i="1" s="1"/>
  <c r="AA38" i="1"/>
  <c r="AB38" i="1"/>
  <c r="AB56" i="1"/>
  <c r="AA56" i="1"/>
  <c r="AA20" i="1"/>
  <c r="AB20" i="1"/>
  <c r="AB21" i="1"/>
  <c r="Z22" i="1" s="1"/>
  <c r="S13" i="1"/>
  <c r="AA26" i="1" l="1"/>
  <c r="AA52" i="1"/>
  <c r="AB52" i="1"/>
  <c r="AA51" i="1"/>
  <c r="AB51" i="1"/>
  <c r="AA46" i="1"/>
  <c r="AB46" i="1"/>
  <c r="Z57" i="1"/>
  <c r="Z58" i="1"/>
  <c r="AB33" i="1"/>
  <c r="Z34" i="1" s="1"/>
  <c r="AA34" i="1" s="1"/>
  <c r="AB27" i="1"/>
  <c r="Z28" i="1" s="1"/>
  <c r="AA27" i="1"/>
  <c r="AA22" i="1"/>
  <c r="AB22" i="1"/>
  <c r="Z11" i="1"/>
  <c r="AA11" i="1" s="1"/>
  <c r="AA58" i="1" l="1"/>
  <c r="AB58" i="1"/>
  <c r="AA57" i="1"/>
  <c r="AB57" i="1"/>
  <c r="AA28" i="1"/>
  <c r="AB28" i="1"/>
  <c r="AB34" i="1"/>
  <c r="AB11" i="1" l="1"/>
  <c r="Z12" i="1" s="1"/>
  <c r="AA12" i="1" l="1"/>
  <c r="AB12" i="1" l="1"/>
  <c r="Z13" i="1" s="1"/>
  <c r="AA13" i="1" s="1"/>
  <c r="AB13" i="1" l="1"/>
  <c r="Z14" i="1" s="1"/>
  <c r="AB14" i="1" l="1"/>
  <c r="Z15" i="1" s="1"/>
  <c r="AA15" i="1" l="1"/>
  <c r="AB15" i="1"/>
  <c r="Z16" i="1" s="1"/>
  <c r="AA14" i="1"/>
  <c r="AA16" i="1" l="1"/>
  <c r="AB16" i="1"/>
  <c r="AD55" i="1" l="1"/>
  <c r="AD47" i="1"/>
  <c r="AD41" i="1"/>
  <c r="AC41" i="1" s="1"/>
  <c r="AE41"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47" i="1"/>
  <c r="AC54" i="1"/>
  <c r="AD13" i="1"/>
  <c r="AC55" i="1"/>
  <c r="AD56" i="1"/>
  <c r="AD25" i="1"/>
  <c r="AC24" i="1"/>
  <c r="AC30" i="1"/>
  <c r="AD31" i="1"/>
  <c r="AC31" i="1" s="1"/>
  <c r="AD32" i="1"/>
  <c r="AD37" i="1"/>
  <c r="AC37" i="1" s="1"/>
  <c r="AD38" i="1"/>
  <c r="AC38" i="1" s="1"/>
  <c r="AC36" i="1"/>
  <c r="AC42" i="1"/>
  <c r="AD43" i="1"/>
  <c r="AC48" i="1"/>
  <c r="AD49" i="1"/>
  <c r="AC18" i="1"/>
  <c r="AD19" i="1"/>
  <c r="AC56" i="1" l="1"/>
  <c r="AD57" i="1"/>
  <c r="K35" i="19"/>
  <c r="AC25" i="19"/>
  <c r="K45" i="19"/>
  <c r="AI45" i="19"/>
  <c r="W45" i="19"/>
  <c r="Q35" i="19"/>
  <c r="K55" i="19"/>
  <c r="AC15" i="19"/>
  <c r="Q15" i="19"/>
  <c r="AC35" i="19"/>
  <c r="AI35" i="19"/>
  <c r="Q55" i="19"/>
  <c r="AI25" i="19"/>
  <c r="AE5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4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30" i="1"/>
  <c r="AD55" i="19"/>
  <c r="R15" i="19"/>
  <c r="AJ35" i="19"/>
  <c r="AE5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4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37" i="1"/>
  <c r="AD12" i="19"/>
  <c r="AD32" i="19"/>
  <c r="AD22" i="19"/>
  <c r="X52" i="19"/>
  <c r="AD52" i="19"/>
  <c r="L42" i="19"/>
  <c r="R42" i="19"/>
  <c r="AJ21" i="19"/>
  <c r="AD31" i="19"/>
  <c r="R21" i="19"/>
  <c r="AD41" i="19"/>
  <c r="AJ11" i="19"/>
  <c r="AJ51" i="19"/>
  <c r="AE31" i="1"/>
  <c r="L41" i="19"/>
  <c r="AD11" i="19"/>
  <c r="L21" i="19"/>
  <c r="L11" i="19"/>
  <c r="X51" i="19"/>
  <c r="X21" i="19"/>
  <c r="R11" i="19"/>
  <c r="R31" i="19"/>
  <c r="AJ41" i="19"/>
  <c r="L31" i="19"/>
  <c r="R51" i="19"/>
  <c r="X31" i="19"/>
  <c r="X11" i="19"/>
  <c r="X41" i="19"/>
  <c r="AJ31" i="19"/>
  <c r="AD51" i="19"/>
  <c r="R41" i="19"/>
  <c r="AD21" i="19"/>
  <c r="L51" i="19"/>
  <c r="AC19" i="1"/>
  <c r="AD20" i="1"/>
  <c r="AC43" i="1"/>
  <c r="AD44" i="1"/>
  <c r="K42" i="19"/>
  <c r="AC32" i="19"/>
  <c r="W42" i="19"/>
  <c r="AI52" i="19"/>
  <c r="K22" i="19"/>
  <c r="Q32" i="19"/>
  <c r="AI12" i="19"/>
  <c r="AC52" i="19"/>
  <c r="Q42" i="19"/>
  <c r="AC42" i="19"/>
  <c r="K12" i="19"/>
  <c r="Q22" i="19"/>
  <c r="W52" i="19"/>
  <c r="AI42" i="19"/>
  <c r="W32" i="19"/>
  <c r="AI22" i="19"/>
  <c r="W12" i="19"/>
  <c r="AI32" i="19"/>
  <c r="AC12" i="19"/>
  <c r="Q12" i="19"/>
  <c r="Q52" i="19"/>
  <c r="AE36" i="1"/>
  <c r="K32" i="19"/>
  <c r="W22" i="19"/>
  <c r="K52" i="19"/>
  <c r="AC22" i="19"/>
  <c r="AC40" i="19"/>
  <c r="W10" i="19"/>
  <c r="AC50" i="19"/>
  <c r="Q10" i="19"/>
  <c r="Q30" i="19"/>
  <c r="W50" i="19"/>
  <c r="K40" i="19"/>
  <c r="Q50" i="19"/>
  <c r="W20" i="19"/>
  <c r="AE24" i="1"/>
  <c r="K10" i="19"/>
  <c r="Q40" i="19"/>
  <c r="K30" i="19"/>
  <c r="AI50" i="19"/>
  <c r="AI20" i="19"/>
  <c r="K50" i="19"/>
  <c r="AI40" i="19"/>
  <c r="W40" i="19"/>
  <c r="K20" i="19"/>
  <c r="AC10" i="19"/>
  <c r="AI10" i="19"/>
  <c r="AC20" i="19"/>
  <c r="AI30" i="19"/>
  <c r="AC30" i="19"/>
  <c r="W30" i="19"/>
  <c r="Q20" i="19"/>
  <c r="AC49" i="1"/>
  <c r="AD50" i="1"/>
  <c r="K39" i="19"/>
  <c r="AC39" i="19"/>
  <c r="W29" i="19"/>
  <c r="AI49" i="19"/>
  <c r="W9" i="19"/>
  <c r="AC19" i="19"/>
  <c r="Q49" i="19"/>
  <c r="W49" i="19"/>
  <c r="AC9" i="19"/>
  <c r="AI9" i="19"/>
  <c r="Q29" i="19"/>
  <c r="W39" i="19"/>
  <c r="Q39" i="19"/>
  <c r="AE18"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2" i="1"/>
  <c r="Q33" i="19"/>
  <c r="AI23" i="19"/>
  <c r="K53" i="19"/>
  <c r="AC23" i="19"/>
  <c r="AC13" i="19"/>
  <c r="W23" i="19"/>
  <c r="W33" i="19"/>
  <c r="Q13" i="19"/>
  <c r="W13" i="19"/>
  <c r="AI13" i="19"/>
  <c r="Q43" i="19"/>
  <c r="Q23" i="19"/>
  <c r="W53" i="19"/>
  <c r="M12" i="19"/>
  <c r="AK42" i="19"/>
  <c r="AE32" i="19"/>
  <c r="AE38" i="1"/>
  <c r="M52" i="19"/>
  <c r="S12" i="19"/>
  <c r="M32" i="19"/>
  <c r="S52" i="19"/>
  <c r="Y52" i="19"/>
  <c r="Y42" i="19"/>
  <c r="AK12" i="19"/>
  <c r="S22" i="19"/>
  <c r="AE12" i="19"/>
  <c r="Y22" i="19"/>
  <c r="S32" i="19"/>
  <c r="AK52" i="19"/>
  <c r="M22" i="19"/>
  <c r="AK32" i="19"/>
  <c r="AE22" i="19"/>
  <c r="AE42" i="19"/>
  <c r="Y32" i="19"/>
  <c r="M42" i="19"/>
  <c r="Y12" i="19"/>
  <c r="AE52" i="19"/>
  <c r="AK22" i="19"/>
  <c r="S42" i="19"/>
  <c r="AC32" i="1"/>
  <c r="AD34" i="1"/>
  <c r="AC34" i="1" s="1"/>
  <c r="AD33" i="1"/>
  <c r="AC33" i="1" s="1"/>
  <c r="AC25" i="1"/>
  <c r="AD26" i="1"/>
  <c r="AD14" i="1"/>
  <c r="AC14" i="1" s="1"/>
  <c r="AC13" i="1"/>
  <c r="AD15"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5" i="1" l="1"/>
  <c r="AD16" i="1"/>
  <c r="AC16" i="1" s="1"/>
  <c r="R40" i="19"/>
  <c r="AD10" i="19"/>
  <c r="X40" i="19"/>
  <c r="AJ10" i="19"/>
  <c r="R50" i="19"/>
  <c r="X10" i="19"/>
  <c r="R30" i="19"/>
  <c r="AE25" i="1"/>
  <c r="L10" i="19"/>
  <c r="L50" i="19"/>
  <c r="AJ20" i="19"/>
  <c r="AJ40" i="19"/>
  <c r="AD30" i="19"/>
  <c r="R20" i="19"/>
  <c r="AD50" i="19"/>
  <c r="AJ30" i="19"/>
  <c r="AJ50" i="19"/>
  <c r="X30" i="19"/>
  <c r="AD20" i="19"/>
  <c r="L40" i="19"/>
  <c r="X50" i="19"/>
  <c r="X20" i="19"/>
  <c r="AD40" i="19"/>
  <c r="R10" i="19"/>
  <c r="L30" i="19"/>
  <c r="L20" i="19"/>
  <c r="AC44" i="1"/>
  <c r="AD45" i="1"/>
  <c r="AC57" i="1"/>
  <c r="AD58" i="1"/>
  <c r="AC58"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3" i="1"/>
  <c r="X23" i="19"/>
  <c r="R33" i="19"/>
  <c r="R43" i="19"/>
  <c r="AD53" i="19"/>
  <c r="AJ13" i="19"/>
  <c r="R23" i="19"/>
  <c r="R13" i="19"/>
  <c r="AJ53" i="19"/>
  <c r="L33" i="19"/>
  <c r="L23" i="19"/>
  <c r="X43" i="19"/>
  <c r="X53" i="19"/>
  <c r="AD13" i="19"/>
  <c r="L53" i="19"/>
  <c r="L13" i="19"/>
  <c r="AD23" i="19"/>
  <c r="AJ33" i="19"/>
  <c r="AJ23" i="19"/>
  <c r="R53" i="19"/>
  <c r="M55" i="19"/>
  <c r="AK15" i="19"/>
  <c r="AE25" i="19"/>
  <c r="AE5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33"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E14" i="1"/>
  <c r="O11" i="19"/>
  <c r="O21" i="19"/>
  <c r="O51" i="19"/>
  <c r="AA31" i="19"/>
  <c r="AM31" i="19"/>
  <c r="AG51" i="19"/>
  <c r="AA41" i="19"/>
  <c r="AM11" i="19"/>
  <c r="U21" i="19"/>
  <c r="AG41" i="19"/>
  <c r="AM21" i="19"/>
  <c r="AM51" i="19"/>
  <c r="O41" i="19"/>
  <c r="U11" i="19"/>
  <c r="AG31" i="19"/>
  <c r="U41" i="19"/>
  <c r="AE34" i="1"/>
  <c r="AG11" i="19"/>
  <c r="AM41" i="19"/>
  <c r="AA21" i="19"/>
  <c r="AA51" i="19"/>
  <c r="U51" i="19"/>
  <c r="U31" i="19"/>
  <c r="AA11" i="19"/>
  <c r="AG21" i="19"/>
  <c r="O31" i="19"/>
  <c r="AC50" i="1"/>
  <c r="AD51" i="1"/>
  <c r="AC20" i="1"/>
  <c r="AD21" i="1"/>
  <c r="AC21" i="1" s="1"/>
  <c r="AD22" i="1"/>
  <c r="AC22" i="1" s="1"/>
  <c r="AJ46" i="19"/>
  <c r="AD46" i="19"/>
  <c r="L36" i="19"/>
  <c r="X16" i="19"/>
  <c r="AJ26" i="19"/>
  <c r="L46" i="19"/>
  <c r="X6" i="19"/>
  <c r="R36" i="19"/>
  <c r="X36" i="19"/>
  <c r="R6" i="19"/>
  <c r="AJ6" i="19"/>
  <c r="AD36" i="19"/>
  <c r="R46" i="19"/>
  <c r="AD26" i="19"/>
  <c r="L16" i="19"/>
  <c r="AD16" i="19"/>
  <c r="AE13" i="1"/>
  <c r="X46" i="19"/>
  <c r="X26" i="19"/>
  <c r="AJ36" i="19"/>
  <c r="R26" i="19"/>
  <c r="AD6" i="19"/>
  <c r="L6" i="19"/>
  <c r="L26" i="19"/>
  <c r="R16" i="19"/>
  <c r="AJ16" i="19"/>
  <c r="AC26" i="1"/>
  <c r="AD27" i="1"/>
  <c r="AE11" i="19"/>
  <c r="Y41" i="19"/>
  <c r="M41" i="19"/>
  <c r="Y21" i="19"/>
  <c r="AK41" i="19"/>
  <c r="S31" i="19"/>
  <c r="M31" i="19"/>
  <c r="M51" i="19"/>
  <c r="Y51" i="19"/>
  <c r="AK21" i="19"/>
  <c r="AK31" i="19"/>
  <c r="Y11" i="19"/>
  <c r="AE41" i="19"/>
  <c r="AE21" i="19"/>
  <c r="S51" i="19"/>
  <c r="AE51" i="19"/>
  <c r="AK51" i="19"/>
  <c r="M21" i="19"/>
  <c r="AE31" i="19"/>
  <c r="AE32" i="1"/>
  <c r="S41" i="19"/>
  <c r="AK11" i="19"/>
  <c r="S11" i="19"/>
  <c r="Y31" i="19"/>
  <c r="S21" i="19"/>
  <c r="M11" i="19"/>
  <c r="L54" i="19"/>
  <c r="AJ14" i="19"/>
  <c r="AD44" i="19"/>
  <c r="X54" i="19"/>
  <c r="R14" i="19"/>
  <c r="AD24" i="19"/>
  <c r="AD34" i="19"/>
  <c r="R54" i="19"/>
  <c r="L34" i="19"/>
  <c r="AJ34" i="19"/>
  <c r="X24" i="19"/>
  <c r="AJ24" i="19"/>
  <c r="X44" i="19"/>
  <c r="R24" i="19"/>
  <c r="AE49" i="1"/>
  <c r="X34" i="19"/>
  <c r="L14" i="19"/>
  <c r="AD14" i="19"/>
  <c r="L44" i="19"/>
  <c r="R44" i="19"/>
  <c r="AD54" i="19"/>
  <c r="X14" i="19"/>
  <c r="AJ44" i="19"/>
  <c r="R34" i="19"/>
  <c r="AJ54" i="19"/>
  <c r="L24" i="19"/>
  <c r="AD29" i="19"/>
  <c r="AD19" i="19"/>
  <c r="R39" i="19"/>
  <c r="R9" i="19"/>
  <c r="X49" i="19"/>
  <c r="X9" i="19"/>
  <c r="AD39" i="19"/>
  <c r="R29" i="19"/>
  <c r="L49" i="19"/>
  <c r="X19" i="19"/>
  <c r="X29" i="19"/>
  <c r="X39" i="19"/>
  <c r="L9" i="19"/>
  <c r="AE19" i="1"/>
  <c r="AD9" i="19"/>
  <c r="AJ49" i="19"/>
  <c r="L39" i="19"/>
  <c r="R19" i="19"/>
  <c r="AJ39" i="19"/>
  <c r="AJ29" i="19"/>
  <c r="AJ19" i="19"/>
  <c r="AJ9" i="19"/>
  <c r="AD49" i="19"/>
  <c r="L19" i="19"/>
  <c r="L29" i="19"/>
  <c r="R49" i="19"/>
  <c r="AC27" i="1" l="1"/>
  <c r="AD28" i="1"/>
  <c r="AC28" i="1" s="1"/>
  <c r="AG39" i="19"/>
  <c r="AG29" i="19"/>
  <c r="AM19" i="19"/>
  <c r="O39" i="19"/>
  <c r="AE22"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0"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58" i="1"/>
  <c r="AG15" i="19"/>
  <c r="U15" i="19"/>
  <c r="AG55" i="19"/>
  <c r="U55" i="19"/>
  <c r="AE40" i="19"/>
  <c r="Y30" i="19"/>
  <c r="M20" i="19"/>
  <c r="AE26"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21"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5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20" i="1"/>
  <c r="M9" i="19"/>
  <c r="Y29" i="19"/>
  <c r="AC45" i="1"/>
  <c r="AD46" i="1"/>
  <c r="AC46" i="1" s="1"/>
  <c r="AM46" i="19"/>
  <c r="U36" i="19"/>
  <c r="AG16" i="19"/>
  <c r="O6" i="19"/>
  <c r="AA36" i="19"/>
  <c r="AM16" i="19"/>
  <c r="U6" i="19"/>
  <c r="AG46" i="19"/>
  <c r="AA16" i="19"/>
  <c r="AE16" i="1"/>
  <c r="AA6" i="19"/>
  <c r="AG6" i="19"/>
  <c r="AA46" i="19"/>
  <c r="AM26" i="19"/>
  <c r="U16" i="19"/>
  <c r="O36" i="19"/>
  <c r="U26" i="19"/>
  <c r="O46" i="19"/>
  <c r="AA26" i="19"/>
  <c r="AM6" i="19"/>
  <c r="U46" i="19"/>
  <c r="AG26" i="19"/>
  <c r="O16" i="19"/>
  <c r="AG36" i="19"/>
  <c r="O26" i="19"/>
  <c r="AM36" i="19"/>
  <c r="AC51" i="1"/>
  <c r="AD52" i="1"/>
  <c r="AC52"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44" i="1"/>
  <c r="M33" i="19"/>
  <c r="AF6" i="19"/>
  <c r="N46" i="19"/>
  <c r="Z26" i="19"/>
  <c r="AL6" i="19"/>
  <c r="AL36" i="19"/>
  <c r="AF26" i="19"/>
  <c r="Z6" i="19"/>
  <c r="T26" i="19"/>
  <c r="Z46" i="19"/>
  <c r="AF46" i="19"/>
  <c r="T46" i="19"/>
  <c r="T6" i="19"/>
  <c r="AF36" i="19"/>
  <c r="N26" i="19"/>
  <c r="Z16" i="19"/>
  <c r="AL26" i="19"/>
  <c r="Z36" i="19"/>
  <c r="N36" i="19"/>
  <c r="AL46" i="19"/>
  <c r="T36" i="19"/>
  <c r="AF16" i="19"/>
  <c r="N6" i="19"/>
  <c r="N16" i="19"/>
  <c r="AE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2" i="1"/>
  <c r="AA14" i="19"/>
  <c r="O54" i="19"/>
  <c r="U44" i="19"/>
  <c r="U43" i="19"/>
  <c r="U13" i="19"/>
  <c r="AM53" i="19"/>
  <c r="AA53" i="19"/>
  <c r="AA43" i="19"/>
  <c r="O53" i="19"/>
  <c r="O23" i="19"/>
  <c r="O13" i="19"/>
  <c r="AG43" i="19"/>
  <c r="U33" i="19"/>
  <c r="U23" i="19"/>
  <c r="AM13" i="19"/>
  <c r="AM23" i="19"/>
  <c r="AG13" i="19"/>
  <c r="AA23" i="19"/>
  <c r="AG33" i="19"/>
  <c r="AA33" i="19"/>
  <c r="AM33" i="19"/>
  <c r="AA13" i="19"/>
  <c r="AE4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1" i="1"/>
  <c r="AF53" i="19"/>
  <c r="T43" i="19"/>
  <c r="Z53" i="19"/>
  <c r="N43" i="19"/>
  <c r="T23" i="19"/>
  <c r="AF43" i="19"/>
  <c r="Z13" i="19"/>
  <c r="Z43" i="19"/>
  <c r="AF23" i="19"/>
  <c r="AL13" i="19"/>
  <c r="Z23" i="19"/>
  <c r="AL43" i="19"/>
  <c r="AF13" i="19"/>
  <c r="AL23" i="19"/>
  <c r="N13" i="19"/>
  <c r="T33" i="19"/>
  <c r="AL53" i="19"/>
  <c r="N23" i="19"/>
  <c r="N53" i="19"/>
  <c r="AF33" i="19"/>
  <c r="N33" i="19"/>
  <c r="AE45"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28"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E27"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9" i="1" l="1"/>
  <c r="N29" i="1" s="1"/>
  <c r="M11" i="1"/>
  <c r="N11" i="1" s="1"/>
  <c r="M17" i="1"/>
  <c r="N17" i="1" s="1"/>
  <c r="M41" i="1"/>
  <c r="N41" i="1" s="1"/>
  <c r="M35" i="1"/>
  <c r="N35" i="1" s="1"/>
  <c r="M23" i="1"/>
  <c r="N23" i="1" s="1"/>
  <c r="M53" i="1"/>
  <c r="N53" i="1" s="1"/>
  <c r="M47" i="1"/>
  <c r="N47" i="1" s="1"/>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P23" i="1"/>
  <c r="L32" i="18"/>
  <c r="X8" i="18"/>
  <c r="X24" i="18"/>
  <c r="AJ8" i="18"/>
  <c r="O23" i="1"/>
  <c r="AD23" i="1" s="1"/>
  <c r="AC23" i="1" s="1"/>
  <c r="R40" i="18"/>
  <c r="L40" i="18"/>
  <c r="X16" i="18"/>
  <c r="L24" i="18"/>
  <c r="AJ24" i="18"/>
  <c r="X32" i="18"/>
  <c r="AJ40" i="18"/>
  <c r="R16" i="18"/>
  <c r="AD40" i="18"/>
  <c r="AD32" i="18"/>
  <c r="AD16" i="18"/>
  <c r="O35" i="1"/>
  <c r="AD35" i="1" s="1"/>
  <c r="AC35" i="1" s="1"/>
  <c r="J42" i="18"/>
  <c r="P34" i="18"/>
  <c r="AB18" i="18"/>
  <c r="AB42" i="18"/>
  <c r="AH34" i="18"/>
  <c r="P10" i="18"/>
  <c r="V34" i="18"/>
  <c r="P42" i="18"/>
  <c r="V42" i="18"/>
  <c r="AH42" i="18"/>
  <c r="AB26" i="18"/>
  <c r="AH26" i="18"/>
  <c r="V26" i="18"/>
  <c r="AB34" i="18"/>
  <c r="V10" i="18"/>
  <c r="AH18" i="18"/>
  <c r="J34" i="18"/>
  <c r="J10" i="18"/>
  <c r="AB10" i="18"/>
  <c r="J18" i="18"/>
  <c r="P35" i="1"/>
  <c r="P26" i="18"/>
  <c r="J26" i="18"/>
  <c r="AH10" i="18"/>
  <c r="P18" i="18"/>
  <c r="V18" i="18"/>
  <c r="X42" i="18"/>
  <c r="AD34" i="18"/>
  <c r="AD10" i="18"/>
  <c r="AD26" i="18"/>
  <c r="L10" i="18"/>
  <c r="L42" i="18"/>
  <c r="L26" i="18"/>
  <c r="X18" i="18"/>
  <c r="X34" i="18"/>
  <c r="X10" i="18"/>
  <c r="R18" i="18"/>
  <c r="AJ10" i="18"/>
  <c r="AD42" i="18"/>
  <c r="AJ34" i="18"/>
  <c r="R26" i="18"/>
  <c r="O41" i="1"/>
  <c r="L18" i="18"/>
  <c r="AJ26" i="18"/>
  <c r="AD18" i="18"/>
  <c r="R34" i="18"/>
  <c r="L34" i="18"/>
  <c r="AJ42" i="18"/>
  <c r="R10" i="18"/>
  <c r="R42" i="18"/>
  <c r="X26" i="18"/>
  <c r="AJ18" i="18"/>
  <c r="P41" i="1"/>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O17" i="1"/>
  <c r="AD17" i="1" s="1"/>
  <c r="AC17" i="1" s="1"/>
  <c r="J16" i="18"/>
  <c r="P32" i="18"/>
  <c r="V24" i="18"/>
  <c r="P24" i="18"/>
  <c r="V40" i="18"/>
  <c r="P16" i="18"/>
  <c r="P40" i="18"/>
  <c r="V32" i="18"/>
  <c r="AH16" i="18"/>
  <c r="AB16" i="18"/>
  <c r="V8" i="18"/>
  <c r="AH24" i="18"/>
  <c r="AH8" i="18"/>
  <c r="AH40" i="18"/>
  <c r="J8" i="18"/>
  <c r="AB32" i="18"/>
  <c r="AB8" i="18"/>
  <c r="J24" i="18"/>
  <c r="J32" i="18"/>
  <c r="P8" i="18"/>
  <c r="P17" i="1"/>
  <c r="Z42" i="18"/>
  <c r="T18" i="18"/>
  <c r="AF34" i="18"/>
  <c r="AF42" i="18"/>
  <c r="N42" i="18"/>
  <c r="Z18" i="18"/>
  <c r="AL10" i="18"/>
  <c r="AL26" i="18"/>
  <c r="AF26" i="18"/>
  <c r="Z10" i="18"/>
  <c r="N18" i="18"/>
  <c r="T26" i="18"/>
  <c r="AF10" i="18"/>
  <c r="T34" i="18"/>
  <c r="N26" i="18"/>
  <c r="AL18" i="18"/>
  <c r="N10" i="18"/>
  <c r="AF18" i="18"/>
  <c r="Z26" i="18"/>
  <c r="AL34" i="18"/>
  <c r="O47" i="1"/>
  <c r="Z34" i="18"/>
  <c r="T10" i="18"/>
  <c r="P47" i="1"/>
  <c r="AL42" i="18"/>
  <c r="N34" i="18"/>
  <c r="T42" i="18"/>
  <c r="P14" i="18"/>
  <c r="V22" i="18"/>
  <c r="V14" i="18"/>
  <c r="P22" i="18"/>
  <c r="V38" i="18"/>
  <c r="AH14" i="18"/>
  <c r="AH38" i="18"/>
  <c r="J14" i="18"/>
  <c r="AB22" i="18"/>
  <c r="V30" i="18"/>
  <c r="AB14" i="18"/>
  <c r="AB38" i="18"/>
  <c r="J30" i="18"/>
  <c r="P38" i="18"/>
  <c r="AB6" i="18"/>
  <c r="O11" i="1"/>
  <c r="AD11" i="1" s="1"/>
  <c r="AH30" i="18"/>
  <c r="J38" i="18"/>
  <c r="AH6" i="18"/>
  <c r="V6" i="18"/>
  <c r="AB30" i="18"/>
  <c r="J22" i="18"/>
  <c r="J6" i="18"/>
  <c r="P30" i="18"/>
  <c r="AH22" i="18"/>
  <c r="P6" i="18"/>
  <c r="P11" i="1"/>
  <c r="AH12" i="18"/>
  <c r="J20" i="18"/>
  <c r="J44" i="18"/>
  <c r="AB28" i="18"/>
  <c r="P28" i="18"/>
  <c r="P53" i="1"/>
  <c r="P12" i="18"/>
  <c r="AH20" i="18"/>
  <c r="P44" i="18"/>
  <c r="AB12" i="18"/>
  <c r="P20" i="18"/>
  <c r="J36" i="18"/>
  <c r="P36" i="18"/>
  <c r="AB44" i="18"/>
  <c r="V44" i="18"/>
  <c r="J28" i="18"/>
  <c r="AH36" i="18"/>
  <c r="V12" i="18"/>
  <c r="V28" i="18"/>
  <c r="AH44" i="18"/>
  <c r="AB20" i="18"/>
  <c r="AB36" i="18"/>
  <c r="AH28" i="18"/>
  <c r="V36" i="18"/>
  <c r="V20" i="18"/>
  <c r="O53" i="1"/>
  <c r="AD53" i="1" s="1"/>
  <c r="AC53" i="1" s="1"/>
  <c r="J12" i="18"/>
  <c r="AF24" i="18"/>
  <c r="AF32" i="18"/>
  <c r="T40" i="18"/>
  <c r="O29" i="1"/>
  <c r="AD29" i="1" s="1"/>
  <c r="AC29" i="1" s="1"/>
  <c r="Z40" i="18"/>
  <c r="AL8" i="18"/>
  <c r="AF8" i="18"/>
  <c r="T8" i="18"/>
  <c r="Z16" i="18"/>
  <c r="T24" i="18"/>
  <c r="AL24" i="18"/>
  <c r="Z32" i="18"/>
  <c r="N32" i="18"/>
  <c r="N16" i="18"/>
  <c r="Z8" i="18"/>
  <c r="AL40" i="18"/>
  <c r="N8" i="18"/>
  <c r="N24" i="18"/>
  <c r="T32" i="18"/>
  <c r="T16" i="18"/>
  <c r="AF40" i="18"/>
  <c r="AF16" i="18"/>
  <c r="AL32" i="18"/>
  <c r="N40" i="18"/>
  <c r="Z24" i="18"/>
  <c r="AL16" i="18"/>
  <c r="P29" i="1"/>
  <c r="AH42" i="19" l="1"/>
  <c r="P22" i="19"/>
  <c r="P32" i="19"/>
  <c r="P52" i="19"/>
  <c r="J12" i="19"/>
  <c r="V12" i="19"/>
  <c r="AB22" i="19"/>
  <c r="V32" i="19"/>
  <c r="P12" i="19"/>
  <c r="P42" i="19"/>
  <c r="AB12" i="19"/>
  <c r="AH32" i="19"/>
  <c r="AB42" i="19"/>
  <c r="V42" i="19"/>
  <c r="J22" i="19"/>
  <c r="V22" i="19"/>
  <c r="AH52" i="19"/>
  <c r="J32" i="19"/>
  <c r="AB32" i="19"/>
  <c r="AH12" i="19"/>
  <c r="AB52" i="19"/>
  <c r="J52" i="19"/>
  <c r="AH22" i="19"/>
  <c r="AE35" i="1"/>
  <c r="V52" i="19"/>
  <c r="J42" i="19"/>
  <c r="J11" i="19"/>
  <c r="P21" i="19"/>
  <c r="J41" i="19"/>
  <c r="V11" i="19"/>
  <c r="V41" i="19"/>
  <c r="P11" i="19"/>
  <c r="V51" i="19"/>
  <c r="AH51" i="19"/>
  <c r="AB21" i="19"/>
  <c r="V31" i="19"/>
  <c r="P31" i="19"/>
  <c r="AH21" i="19"/>
  <c r="J21" i="19"/>
  <c r="J31" i="19"/>
  <c r="AB11" i="19"/>
  <c r="V21" i="19"/>
  <c r="J51" i="19"/>
  <c r="AB51" i="19"/>
  <c r="AB41" i="19"/>
  <c r="P51" i="19"/>
  <c r="AH31" i="19"/>
  <c r="AB31" i="19"/>
  <c r="AE29" i="1"/>
  <c r="P41" i="19"/>
  <c r="AH11" i="19"/>
  <c r="AH41" i="19"/>
  <c r="J40" i="19"/>
  <c r="P50" i="19"/>
  <c r="V40" i="19"/>
  <c r="J20" i="19"/>
  <c r="V30" i="19"/>
  <c r="AB10" i="19"/>
  <c r="AB30" i="19"/>
  <c r="AH20" i="19"/>
  <c r="AH30" i="19"/>
  <c r="J30" i="19"/>
  <c r="AH40" i="19"/>
  <c r="AB20" i="19"/>
  <c r="P20" i="19"/>
  <c r="P40" i="19"/>
  <c r="V20" i="19"/>
  <c r="J10" i="19"/>
  <c r="AH10" i="19"/>
  <c r="P10" i="19"/>
  <c r="AH50" i="19"/>
  <c r="V10" i="19"/>
  <c r="AB50" i="19"/>
  <c r="AE23" i="1"/>
  <c r="J50" i="19"/>
  <c r="AB40" i="19"/>
  <c r="P30" i="19"/>
  <c r="V50" i="19"/>
  <c r="AB39" i="19"/>
  <c r="AB49" i="19"/>
  <c r="AH49" i="19"/>
  <c r="AB29" i="19"/>
  <c r="V19" i="19"/>
  <c r="AE17" i="1"/>
  <c r="P39" i="19"/>
  <c r="P49" i="19"/>
  <c r="AH29" i="19"/>
  <c r="V29" i="19"/>
  <c r="P9" i="19"/>
  <c r="J49" i="19"/>
  <c r="P29" i="19"/>
  <c r="AB9" i="19"/>
  <c r="P19" i="19"/>
  <c r="AH19" i="19"/>
  <c r="J39" i="19"/>
  <c r="V39" i="19"/>
  <c r="V49" i="19"/>
  <c r="J9" i="19"/>
  <c r="V9" i="19"/>
  <c r="AH39" i="19"/>
  <c r="AH9" i="19"/>
  <c r="J29" i="19"/>
  <c r="AB19" i="19"/>
  <c r="J19" i="19"/>
  <c r="P48" i="19"/>
  <c r="J18" i="19"/>
  <c r="AH8" i="19"/>
  <c r="AH48" i="19"/>
  <c r="J38" i="19"/>
  <c r="P18" i="19"/>
  <c r="V28" i="19"/>
  <c r="AB28" i="19"/>
  <c r="AB38" i="19"/>
  <c r="P38" i="19"/>
  <c r="AB18" i="19"/>
  <c r="AB48" i="19"/>
  <c r="AH18" i="19"/>
  <c r="AH28" i="19"/>
  <c r="J28" i="19"/>
  <c r="AB8" i="19"/>
  <c r="J8" i="19"/>
  <c r="V38" i="19"/>
  <c r="V48" i="19"/>
  <c r="P28" i="19"/>
  <c r="AH38" i="19"/>
  <c r="V8" i="19"/>
  <c r="V18" i="19"/>
  <c r="P8" i="19"/>
  <c r="J48" i="19"/>
  <c r="J27" i="19"/>
  <c r="AC11" i="1"/>
  <c r="P16" i="19" s="1"/>
  <c r="AD12" i="1"/>
  <c r="AC12" i="1" s="1"/>
  <c r="V25" i="19"/>
  <c r="V45" i="19"/>
  <c r="J15" i="19"/>
  <c r="AB45" i="19"/>
  <c r="AH25" i="19"/>
  <c r="AH55" i="19"/>
  <c r="AB15" i="19"/>
  <c r="P15" i="19"/>
  <c r="P45" i="19"/>
  <c r="V15" i="19"/>
  <c r="J35" i="19"/>
  <c r="AH45" i="19"/>
  <c r="J25" i="19"/>
  <c r="AB35" i="19"/>
  <c r="AH15" i="19"/>
  <c r="V35" i="19"/>
  <c r="J55" i="19"/>
  <c r="AB55" i="19"/>
  <c r="AE53" i="1"/>
  <c r="AB25" i="19"/>
  <c r="AH35" i="19"/>
  <c r="P55" i="19"/>
  <c r="J45" i="19"/>
  <c r="P25" i="19"/>
  <c r="P35" i="19"/>
  <c r="V55" i="19"/>
  <c r="AB37" i="19" l="1"/>
  <c r="AH47" i="19"/>
  <c r="V27" i="19"/>
  <c r="V37" i="19"/>
  <c r="AB47" i="19"/>
  <c r="AH27" i="19"/>
  <c r="V17" i="19"/>
  <c r="J7" i="19"/>
  <c r="J47" i="19"/>
  <c r="J37" i="19"/>
  <c r="P7" i="19"/>
  <c r="AB27" i="19"/>
  <c r="AH7" i="19"/>
  <c r="P27" i="19"/>
  <c r="AB17" i="19"/>
  <c r="V7" i="19"/>
  <c r="P37" i="19"/>
  <c r="P47" i="19"/>
  <c r="AH17" i="19"/>
  <c r="V47" i="19"/>
  <c r="J17" i="19"/>
  <c r="AH37" i="19"/>
  <c r="P17" i="19"/>
  <c r="AB7" i="19"/>
  <c r="W37" i="19"/>
  <c r="AC37" i="19"/>
  <c r="K7" i="19"/>
  <c r="AI7" i="19"/>
  <c r="AI37" i="19"/>
  <c r="Q17" i="19"/>
  <c r="W17" i="19"/>
  <c r="W27" i="19"/>
  <c r="AC17" i="19"/>
  <c r="Q47" i="19"/>
  <c r="K37" i="19"/>
  <c r="W7" i="19"/>
  <c r="AC7" i="19"/>
  <c r="AI17" i="19"/>
  <c r="W47" i="19"/>
  <c r="K47" i="19"/>
  <c r="Q37" i="19"/>
  <c r="AI47" i="19"/>
  <c r="AI27" i="19"/>
  <c r="Q27" i="19"/>
  <c r="Q7" i="19"/>
  <c r="AC27" i="19"/>
  <c r="K27" i="19"/>
  <c r="AC47" i="19"/>
  <c r="K17" i="19"/>
  <c r="V36" i="19"/>
  <c r="V6" i="19"/>
  <c r="V16" i="19"/>
  <c r="P26" i="19"/>
  <c r="J26" i="19"/>
  <c r="V26" i="19"/>
  <c r="J36" i="19"/>
  <c r="J16" i="19"/>
  <c r="P36" i="19"/>
  <c r="AB26" i="19"/>
  <c r="AB36" i="19"/>
  <c r="J6" i="19"/>
  <c r="P46" i="19"/>
  <c r="AB6" i="19"/>
  <c r="AH36" i="19"/>
  <c r="AB46" i="19"/>
  <c r="AH46" i="19"/>
  <c r="V46" i="19"/>
  <c r="AH16" i="19"/>
  <c r="AH26" i="19"/>
  <c r="AH6" i="19"/>
  <c r="J46" i="19"/>
  <c r="AE11" i="1"/>
  <c r="AB16" i="19"/>
  <c r="P6" i="19"/>
  <c r="W36" i="19"/>
  <c r="AC36" i="19"/>
  <c r="K16" i="19"/>
  <c r="AI36" i="19"/>
  <c r="K46" i="19"/>
  <c r="AI46" i="19"/>
  <c r="AC46" i="19"/>
  <c r="Q46" i="19"/>
  <c r="AC26" i="19"/>
  <c r="AC16" i="19"/>
  <c r="W16" i="19"/>
  <c r="K36" i="19"/>
  <c r="Q26" i="19"/>
  <c r="AE12" i="1"/>
  <c r="Q6" i="19"/>
  <c r="K6" i="19"/>
  <c r="Q16" i="19"/>
  <c r="Q36" i="19"/>
  <c r="AC6" i="19"/>
  <c r="AI6" i="19"/>
  <c r="AI16" i="19"/>
  <c r="W6" i="19"/>
  <c r="AI26" i="19"/>
  <c r="W26" i="19"/>
  <c r="K26" i="19"/>
  <c r="W46" i="19"/>
</calcChain>
</file>

<file path=xl/comments1.xml><?xml version="1.0" encoding="utf-8"?>
<comments xmlns="http://schemas.openxmlformats.org/spreadsheetml/2006/main">
  <authors>
    <author>Ing. Andru</author>
  </authors>
  <commentList>
    <comment ref="C6" authorId="0" shapeId="0">
      <text>
        <r>
          <rPr>
            <b/>
            <sz val="9"/>
            <color indexed="81"/>
            <rFont val="Tahoma"/>
            <charset val="1"/>
          </rPr>
          <t>Traer la Información de la caracterización del proceso.</t>
        </r>
      </text>
    </comment>
    <comment ref="C7" authorId="0" shapeId="0">
      <text>
        <r>
          <rPr>
            <b/>
            <sz val="9"/>
            <color indexed="81"/>
            <rFont val="Tahoma"/>
            <charset val="1"/>
          </rPr>
          <t>Traer la Información de la caracterización del proceso.</t>
        </r>
        <r>
          <rPr>
            <sz val="9"/>
            <color indexed="81"/>
            <rFont val="Tahoma"/>
            <charset val="1"/>
          </rPr>
          <t xml:space="preserve">
</t>
        </r>
      </text>
    </comment>
    <comment ref="A9" authorId="0" shapeId="0">
      <text>
        <r>
          <rPr>
            <b/>
            <sz val="9"/>
            <color indexed="81"/>
            <rFont val="Tahoma"/>
            <charset val="1"/>
          </rPr>
          <t>Número consecutivo de los riesgos que se identifican.</t>
        </r>
        <r>
          <rPr>
            <sz val="9"/>
            <color indexed="81"/>
            <rFont val="Tahoma"/>
            <charset val="1"/>
          </rPr>
          <t xml:space="preserve">
</t>
        </r>
      </text>
    </comment>
    <comment ref="B9" authorId="0" shapeId="0">
      <text>
        <r>
          <rPr>
            <b/>
            <sz val="9"/>
            <color indexed="81"/>
            <rFont val="Tahoma"/>
            <charset val="1"/>
          </rPr>
          <t>Consulte su matriz de activos de información.</t>
        </r>
      </text>
    </comment>
    <comment ref="D9" authorId="0" shapeId="0">
      <text>
        <r>
          <rPr>
            <b/>
            <sz val="9"/>
            <color indexed="81"/>
            <rFont val="Tahoma"/>
            <charset val="1"/>
          </rPr>
          <t>En el manual de gestión de riesgos de seguridad de la información, encontrará sugerencias de AMENAZAS que puede usar o ajustar según se requiera.</t>
        </r>
      </text>
    </comment>
    <comment ref="E9" authorId="0" shapeId="0">
      <text>
        <r>
          <rPr>
            <b/>
            <sz val="9"/>
            <color indexed="81"/>
            <rFont val="Tahoma"/>
            <charset val="1"/>
          </rPr>
          <t>En el manual de gestión de riesgos de seguridad de la información, encontrará sugerencias de VULNERABILIDADES que puede usar o ajustar según se requiera.</t>
        </r>
        <r>
          <rPr>
            <sz val="9"/>
            <color indexed="81"/>
            <rFont val="Tahoma"/>
            <charset val="1"/>
          </rPr>
          <t xml:space="preserve">
</t>
        </r>
      </text>
    </comment>
    <comment ref="S9" authorId="0" shapeId="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<sst xmlns="http://schemas.openxmlformats.org/spreadsheetml/2006/main" count="482" uniqueCount="308">
  <si>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</si>
  <si>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</si>
  <si>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</si>
  <si>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</si>
  <si>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</si>
  <si>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</si>
  <si>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</si>
  <si>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</si>
  <si>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</si>
  <si>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</si>
  <si>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</si>
  <si>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</si>
  <si>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</si>
  <si>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</si>
  <si>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</si>
  <si>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</si>
  <si>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</si>
  <si>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</si>
  <si>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</si>
  <si>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</si>
  <si>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</si>
  <si>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</si>
  <si>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</si>
  <si>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</si>
  <si>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</si>
  <si>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</si>
  <si>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</si>
  <si>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</si>
  <si>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</si>
  <si>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</si>
  <si>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</si>
  <si>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</si>
  <si>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</si>
  <si>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</si>
  <si>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</si>
  <si>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</si>
  <si>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</si>
  <si>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</si>
  <si>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</si>
  <si>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</si>
  <si>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</si>
  <si>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</si>
  <si>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</si>
  <si>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</si>
  <si>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</si>
  <si>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</si>
  <si>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</si>
  <si>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</si>
  <si>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</si>
  <si>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</si>
  <si>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</si>
  <si>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</si>
  <si>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</si>
  <si>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</si>
  <si>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</si>
  <si>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</si>
  <si>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</si>
  <si>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</si>
  <si>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</si>
  <si>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</si>
  <si>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</si>
  <si>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</si>
  <si>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</si>
  <si>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</si>
  <si>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</si>
  <si>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</si>
  <si>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</si>
  <si>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</si>
  <si>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</si>
  <si>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</si>
  <si>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</si>
  <si>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</si>
  <si>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</si>
  <si>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</si>
  <si>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</si>
  <si>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</si>
  <si>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</si>
  <si>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</si>
  <si>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</si>
  <si>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</si>
  <si>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</si>
  <si>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</si>
  <si>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</si>
  <si>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</si>
  <si>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</si>
  <si>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</si>
  <si>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</si>
  <si>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</si>
  <si>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</si>
  <si>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</si>
  <si>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</si>
  <si>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</si>
  <si>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</si>
  <si>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</si>
  <si>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</si>
  <si>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</si>
  <si>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</si>
  <si>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</si>
  <si>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</si>
  <si>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</si>
  <si>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</si>
  <si>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</si>
  <si>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</si>
  <si>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</si>
  <si>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</si>
  <si>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</si>
  <si>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</si>
  <si>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</si>
  <si>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</si>
  <si>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</si>
  <si>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</si>
  <si>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</si>
  <si>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</si>
  <si>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</si>
  <si>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</si>
  <si>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</si>
  <si>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</si>
  <si>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</si>
  <si>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</si>
  <si>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</si>
  <si>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</si>
  <si>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</si>
  <si>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</si>
  <si>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</si>
  <si>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</si>
  <si>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</si>
  <si>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</si>
  <si>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</si>
  <si>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</si>
  <si>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</si>
  <si>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</si>
  <si>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</si>
  <si>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</si>
  <si>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</si>
  <si>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</si>
  <si>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</si>
  <si>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</si>
  <si>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</si>
  <si>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</si>
  <si>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</si>
  <si>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</si>
  <si>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</si>
  <si>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</si>
  <si>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</si>
  <si>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</si>
  <si>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</si>
  <si>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</si>
  <si>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</si>
  <si>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</si>
  <si>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</si>
  <si>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</si>
  <si>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</si>
  <si>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</si>
  <si>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</si>
  <si>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</si>
  <si>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</si>
  <si>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</si>
  <si>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</si>
  <si>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</si>
  <si>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</si>
  <si>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</si>
  <si>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</si>
  <si>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</si>
  <si>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</si>
  <si>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</si>
  <si>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</si>
  <si>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</si>
  <si>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</si>
  <si>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</si>
  <si>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</si>
  <si>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</si>
  <si>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</si>
  <si>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</si>
  <si>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</si>
  <si>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</si>
  <si>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</si>
  <si>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</si>
  <si>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</si>
  <si>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</si>
  <si>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</si>
  <si>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</si>
  <si>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</si>
  <si>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</si>
  <si>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</si>
  <si>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</si>
  <si>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</si>
  <si>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</si>
  <si>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</si>
  <si>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</si>
  <si>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</si>
  <si>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</si>
  <si>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</si>
  <si>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</si>
  <si>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</si>
  <si>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</si>
  <si>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</si>
  <si>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</si>
  <si>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</si>
  <si>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</si>
  <si>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</si>
  <si>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</si>
  <si>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</si>
  <si>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</si>
  <si>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</si>
  <si>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</si>
  <si>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</si>
  <si>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</si>
  <si>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</si>
  <si>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</si>
  <si>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</si>
  <si>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</si>
  <si>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</si>
  <si>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</si>
  <si>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</si>
  <si>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</si>
  <si>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</si>
  <si>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</si>
  <si>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</si>
  <si>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</si>
  <si>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</si>
  <si>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</si>
  <si>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</si>
  <si>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Diligencie el objetivo del proceso o dependencia. Consulte la caracterización del proceso o dependencia en Kawak.</t>
  </si>
  <si>
    <t>Diligencie el alcance del proceso o dependencia. Consulte la caracterización del proceso o dependencia en Kawak.</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</si>
  <si>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</si>
  <si>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</si>
  <si>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</si>
  <si>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Circunstancias bajo las cuales se presenta el riesgo, es la situación más evidente frente al riesgo, redacte de la forma más concreta posible. 
En el manual de gestión de riesgos de seguridad de la información, consulte el numeral 10.3 Amenazas, verifique en la tabla de Amenazas si hay algunas de las amenazas comunes que le aplique, o adáptela de acuerdo a su necesidad, recuerde que la información allí consignada es una guía de referencia.</t>
  </si>
  <si>
    <t>Causa principal o básica, corresponde a las razones por la cuales se puede presentar el riesgo por la falta de un control, redacte de la forma más concreta posible.
En el manual de gestión de riesgos de seguridad de la información, consulte el numeral 10.4 Amenazas, verifique en la tabla de Vulnerabilidades si hay algunas de las vulnerabilidades comunes que le aplique, o adáptela de acuerdo a su necesidad, recuerde que la información allí consignada es una guía de referencia.</t>
  </si>
  <si>
    <t>Seleccione de la Lista desplegable el tipo de riesgo, hay 3 riesgos asociados a seguridad de la información y 4 asociados a bases de datos personales.
En el manual de gestión de riesgos de seguridad de la información, consulte el numeral 10.2 Riesgos de Seguridad de la Información y Bases de Datos Personales.</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</si>
  <si>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</si>
  <si>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En el manual de gestión de riesgos de seguridad de la información, consulte el numeral 10.5 Clasificación del Riesgo, en el cual se encuentra la descripción de cada uno.</t>
  </si>
  <si>
    <t>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11.1 Probabilidad, en el cual se encuentra la tabla Análisis de Probabilidad, con la descripción de cada uno, de igual forma también se encuentra en el instrumento en la hoja “Tabla Probabilidad”.</t>
  </si>
  <si>
    <t>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11.2 Impacto, en el cual se encuentra la tabla Análisis de Impacto.</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</si>
  <si>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</si>
  <si>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</si>
  <si>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</si>
  <si>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</si>
  <si>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</si>
  <si>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</si>
  <si>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</si>
  <si>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</si>
  <si>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</si>
  <si>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</si>
  <si>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</si>
  <si>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</si>
  <si>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</si>
  <si>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DESPACHO - SECRETARÍA DISTRITAL DE CULTURA, RECREACIÓN Y DEPORTE</t>
  </si>
  <si>
    <t>OFICINA DE CONTROL INTERNO</t>
  </si>
  <si>
    <t>OFICINA DE CONTROL INTERNO DISCIPLINARIO</t>
  </si>
  <si>
    <t>OFICINA ASESORA DE JURÍDICA</t>
  </si>
  <si>
    <t>OFICINA ASESORA DE COMUNICACIONES</t>
  </si>
  <si>
    <t>OFICINA ASESORA DE PLANEACIÓN</t>
  </si>
  <si>
    <t>OFICINA DE TECNOLOGÍAS DE LA INFORMACIÓN</t>
  </si>
  <si>
    <t>DIRECCIÓN DE FOMENTO</t>
  </si>
  <si>
    <t>DIRECCIÓN DE ASUNTOS LOCALES Y PARTICIPACIÓN</t>
  </si>
  <si>
    <t>DIRECCIÓN DE ECONOMÍA, ESTUDIOS Y POLÍTICA</t>
  </si>
  <si>
    <t>DIRECCIÓN DE PERSONAS JURÍDICAS</t>
  </si>
  <si>
    <t>SUBSECRETARÍA DISTRITAL DE CULTURA CIUDADANA Y GESTIÓN DEL CONOCIMIENTO</t>
  </si>
  <si>
    <t>DIRECCIÓN DEL OBSERVATORIO Y GESTIÓN DEL CONOCIMIENTO CULTURAL</t>
  </si>
  <si>
    <t>DIRECCIÓN DE ARTE CULTURA Y PATRIMONIO</t>
  </si>
  <si>
    <t>SUBDIRECCIÓN DE GESTIÓN CULTURAL Y ARTÍSTICA</t>
  </si>
  <si>
    <t>SUBDIRECCIÓN DE INFRAESTRUCTURA CULTURAL Y PATRIMONIO CULTURAL</t>
  </si>
  <si>
    <t>DIRECCIÓN DE LECTURA Y BIBLIOTECAS</t>
  </si>
  <si>
    <t>DIRECCIÓN DE GESTIÓN CORPORATIVA</t>
  </si>
  <si>
    <t>GRUPO INTERNO DE TRABAJO DE TALENTO HUMANO</t>
  </si>
  <si>
    <t>GRUPO INTERNO DE TRABAJO DE GESTIÓN FINANCIERA</t>
  </si>
  <si>
    <t>GRUPO INTERNO DE TRABAJO DE CONTRATACIÓN</t>
  </si>
  <si>
    <t>GRUPO INTERNO DE TRABAJO DE GESTIÓN DE SERVICIOS ADMINISTRATIVOS</t>
  </si>
  <si>
    <t>GESTIÓN DOCUMENTAL, ARCHIVO Y CORRESPONDENCIA</t>
  </si>
  <si>
    <t>DIRECCIONAMIENTO ESTRATÉGICO</t>
  </si>
  <si>
    <t>COMUNICACIÓN ESTRATÉGICA</t>
  </si>
  <si>
    <t>GESTIÓN ESTRATÉGICA DE TI</t>
  </si>
  <si>
    <t>FORMULACIÓN Y SEGUIMIENTO DE POLÍTICAS PÚBLICAS</t>
  </si>
  <si>
    <t>PROMOCIÓN DE AGENTES Y PRÁCTICAS CULTURALES Y RECREODEPORTIVAS</t>
  </si>
  <si>
    <t>APROPIACIÓN DE LA INFRAESTUCTURA Y PATRIMONIO CULTURAL</t>
  </si>
  <si>
    <t>GESTIÓN DEL CONOCIMIENTO</t>
  </si>
  <si>
    <t>PARTICIPACIÓN CIUDADANA</t>
  </si>
  <si>
    <t>GESTIÓN OPERATIVA DE TI</t>
  </si>
  <si>
    <t>GESTIÓN JURÍDICA</t>
  </si>
  <si>
    <t>GESTIÓN FINANCIERA</t>
  </si>
  <si>
    <t>GESTIÓN DE TALENTO HUMANO</t>
  </si>
  <si>
    <t>RELACIÓN CON LA CIUDADANÍA</t>
  </si>
  <si>
    <t>GESTIÓN ADMINISTRATIVA</t>
  </si>
  <si>
    <t>GESTIÓN DOCUMENTAL</t>
  </si>
  <si>
    <t>SEGUIMIENTO Y EVALUACION DE LA GESTION</t>
  </si>
  <si>
    <t>Prestar los servicios administrativos de apoyo, requeridos por lo procesos para el cumplimiento de la misión institucionalconforme a la normativa vigente y a la disponibilidad de recursos</t>
  </si>
  <si>
    <t>Inicia desde la planificación, consolidación y gestión de los servicios de administración de bienes, mantenimiento de bienes muebles e inmuebles , administrativos y el plan institucional de gestión ambiental - piga que requieran los procesos institucionales y culmina con la prestación de los servicios acorde con la disponibilidad de recursos</t>
  </si>
  <si>
    <t>Errores humanos</t>
  </si>
  <si>
    <t xml:space="preserve">Alteración o modificación de la información de los datos ya que se realiza manualmente </t>
  </si>
  <si>
    <t>Posibilidad de perdida de integridad de la información del plan de compras debido a errores humanos, toda vez, que puede ser modificada o alterada de forma involuntaria debido a que se realiza la actualización de la información manualmente</t>
  </si>
  <si>
    <t>Comparación semestral del reporte del aplicativo interno administrado por la Oficina Asesora de Planeación  frente al publicado en SECOP II por el GIT de Contratación, para garantizar la integridad de la información</t>
  </si>
  <si>
    <t xml:space="preserve">Errores humanos  </t>
  </si>
  <si>
    <t xml:space="preserve"> Desconocimiento o mal diligenciamiento de los formatos de almacen</t>
  </si>
  <si>
    <t xml:space="preserve">Posibilidad de pérdida de integridad de la información de los bienes muebles de la SCRD por desconocimiento o mal diligenciamiento de los formatos de almacen a causa de errores humanos  </t>
  </si>
  <si>
    <t>Socializar a la comunidad institucional el proceso de diligenciamiento de los formatos establecidos semestralmente</t>
  </si>
  <si>
    <t>Interrupciones, denegación de servicio y demora en la atención</t>
  </si>
  <si>
    <t>Fallas técnicas en el aplicativo</t>
  </si>
  <si>
    <t>Posiblidad de perdida de disponibilidad superior a un día, del aplicativo de almacen de la SCRD que puede producir nterrupciones,  denegación de servicio y demora en la atención a causa de fallas técnicas  en el aplicativo</t>
  </si>
  <si>
    <t xml:space="preserve">Monitoreo y seguimiento cuatrimestralmente al funcionamiento del aplicativo, así como de la respuesta oportuna de los soportes solicitados </t>
  </si>
  <si>
    <t>Alta demanda de las solicitudes</t>
  </si>
  <si>
    <t>Retrasos en la atención de los requerimientos frente al aplicativo</t>
  </si>
  <si>
    <t>Posiblidad de pérdida de disponibilidad superior a 2 días del personal encargado de dar apoyo técnico al software de almacen debido a la alta demanda de solicitudes, lo que genera retrasos en la atención oportuna de los requerimientos frente al aplicativo</t>
  </si>
  <si>
    <t>Monitorear las solicitudes realizadas cuatrimestralmente y gestionar las que se encuentran pendiente de respuesta</t>
  </si>
  <si>
    <t>Interrupciones o denegación de servicio</t>
  </si>
  <si>
    <t xml:space="preserve">Fallas técnicas en el aplicativo </t>
  </si>
  <si>
    <t>Posibilidad de perdida de disponibilidad superior a un día del aplicativo de la Mesa de Servicios Administrtivos GLPI que pueden producir interrupciones o denegación de servicio por fallas técnicas en el aplicativo</t>
  </si>
  <si>
    <t>Reportar al área de tecnología las fallas que la mesa de ayuda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</si>
</sst>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charset val="1"/>
    </font>
    <font>
      <b/>
      <sz val="9"/>
      <color indexed="81"/>
      <name val="Tahoma"/>
      <charset val="1"/>
    </font>
    <font>
      <b/>
      <sz val="11"/>
      <name val="Calibri"/>
      <family val="2"/>
      <scheme val="minor"/>
    </font>
    <font>
      <b/>
      <sz val="9"/>
      <color indexed="81"/>
      <name val="Tahoma"/>
      <family val="2"/>
    </font>
    <font>
      <sz val="9"/>
      <color rgb="FF000000"/>
      <name val="Arial Narrow"/>
      <family val="2"/>
      <charset val="1"/>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1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60" fillId="18" borderId="33" xfId="0" applyFont="1" applyFill="1" applyBorder="1" applyAlignment="1">
      <alignment horizontal="left"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0" fillId="3" borderId="33" xfId="0" applyFill="1" applyBorder="1"/>
    <xf numFmtId="0" fontId="65" fillId="19" borderId="79" xfId="4" applyFont="1" applyFill="1" applyBorder="1" applyAlignment="1">
      <alignment vertical="center" wrapText="1"/>
    </xf>
    <xf numFmtId="0" fontId="65" fillId="19" borderId="80" xfId="4" applyFont="1" applyFill="1" applyBorder="1" applyAlignment="1">
      <alignment vertical="center" wrapText="1"/>
    </xf>
    <xf numFmtId="0" fontId="65" fillId="3" borderId="80" xfId="4" applyFont="1" applyFill="1" applyBorder="1" applyAlignment="1">
      <alignment vertical="center" wrapText="1"/>
    </xf>
    <xf numFmtId="0" fontId="65" fillId="3" borderId="81" xfId="4" applyFont="1" applyFill="1" applyBorder="1" applyAlignment="1">
      <alignment vertical="center" wrapText="1"/>
    </xf>
    <xf numFmtId="0" fontId="65" fillId="20" borderId="80" xfId="4" applyFont="1" applyFill="1" applyBorder="1" applyAlignment="1">
      <alignment vertical="center" wrapText="1"/>
    </xf>
    <xf numFmtId="0" fontId="65" fillId="21" borderId="82" xfId="4" applyFont="1" applyFill="1" applyBorder="1" applyAlignment="1">
      <alignment vertical="center" wrapText="1"/>
    </xf>
    <xf numFmtId="164" fontId="1" fillId="0" borderId="2" xfId="1" applyNumberFormat="1" applyFont="1" applyFill="1" applyBorder="1" applyAlignment="1">
      <alignment horizontal="center" vertical="top"/>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3" borderId="0" xfId="0" applyFont="1" applyFill="1" applyAlignment="1">
      <alignment horizontal="left"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cellXfs>
  <cellStyles count="6">
    <cellStyle name="Énfasis6" xfId="5" builtinId="49"/>
    <cellStyle name="Normal" xfId="0" builtinId="0"/>
    <cellStyle name="Normal - Style1 2" xfId="2"/>
    <cellStyle name="Normal 2" xfId="4"/>
    <cellStyle name="Normal 2 2" xfId="3"/>
    <cellStyle name="Porcentaje" xfId="1" builtinId="5"/>
  </cellStyles>
  <dxfs count="198">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197" dataDxfId="196">
  <autoFilter ref="B209:C219"/>
  <tableColumns count="2">
    <tableColumn id="1" name="Criterios" dataDxfId="195"/>
    <tableColumn id="2" name="Subcriterios" dataDxfId="194"/>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193">
  <autoFilter ref="B228:C235"/>
  <tableColumns count="2">
    <tableColumn id="1" name="Criterios" dataDxfId="192"/>
    <tableColumn id="2" name="Subcriterios" dataDxfId="1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zoomScale="110" zoomScaleNormal="110" workbookViewId="0">
      <selection activeCell="B44" sqref="B44:H44"/>
    </sheetView>
  </sheetViews>
  <sheetFormatPr baseColWidth="10" defaultColWidth="11.453125" defaultRowHeight="14.5" x14ac:dyDescent="0.35"/>
  <cols>
    <col min="1" max="1" width="2.81640625" style="83" customWidth="1"/>
    <col min="2" max="3" width="24.7265625" style="83" customWidth="1"/>
    <col min="4" max="4" width="16" style="83" customWidth="1"/>
    <col min="5" max="5" width="24.7265625" style="83" customWidth="1"/>
    <col min="6" max="6" width="27.7265625" style="83" customWidth="1"/>
    <col min="7" max="8" width="24.7265625" style="83" customWidth="1"/>
    <col min="9" max="16384" width="11.453125" style="83"/>
  </cols>
  <sheetData>
    <row r="1" spans="2:8" ht="15" thickBot="1" x14ac:dyDescent="0.4"/>
    <row r="2" spans="2:8" ht="18" x14ac:dyDescent="0.35">
      <c r="B2" s="160" t="s">
        <v>149</v>
      </c>
      <c r="C2" s="161"/>
      <c r="D2" s="161"/>
      <c r="E2" s="161"/>
      <c r="F2" s="161"/>
      <c r="G2" s="161"/>
      <c r="H2" s="162"/>
    </row>
    <row r="3" spans="2:8" x14ac:dyDescent="0.35">
      <c r="B3" s="84"/>
      <c r="C3" s="85"/>
      <c r="D3" s="85"/>
      <c r="E3" s="85"/>
      <c r="F3" s="85"/>
      <c r="G3" s="85"/>
      <c r="H3" s="86"/>
    </row>
    <row r="4" spans="2:8" ht="63" customHeight="1" x14ac:dyDescent="0.35">
      <c r="B4" s="163" t="s">
        <v>173</v>
      </c>
      <c r="C4" s="164"/>
      <c r="D4" s="164"/>
      <c r="E4" s="164"/>
      <c r="F4" s="164"/>
      <c r="G4" s="164"/>
      <c r="H4" s="165"/>
    </row>
    <row r="5" spans="2:8" ht="63" customHeight="1" x14ac:dyDescent="0.35">
      <c r="B5" s="166"/>
      <c r="C5" s="167"/>
      <c r="D5" s="167"/>
      <c r="E5" s="167"/>
      <c r="F5" s="167"/>
      <c r="G5" s="167"/>
      <c r="H5" s="168"/>
    </row>
    <row r="6" spans="2:8" x14ac:dyDescent="0.35">
      <c r="B6" s="169" t="s">
        <v>147</v>
      </c>
      <c r="C6" s="170"/>
      <c r="D6" s="170"/>
      <c r="E6" s="170"/>
      <c r="F6" s="170"/>
      <c r="G6" s="170"/>
      <c r="H6" s="171"/>
    </row>
    <row r="7" spans="2:8" ht="95.25" customHeight="1" x14ac:dyDescent="0.35">
      <c r="B7" s="179" t="s">
        <v>151</v>
      </c>
      <c r="C7" s="180"/>
      <c r="D7" s="180"/>
      <c r="E7" s="180"/>
      <c r="F7" s="180"/>
      <c r="G7" s="180"/>
      <c r="H7" s="181"/>
    </row>
    <row r="8" spans="2:8" x14ac:dyDescent="0.35">
      <c r="B8" s="120"/>
      <c r="C8" s="121"/>
      <c r="D8" s="121"/>
      <c r="E8" s="121"/>
      <c r="F8" s="121"/>
      <c r="G8" s="121"/>
      <c r="H8" s="122"/>
    </row>
    <row r="9" spans="2:8" ht="16.5" customHeight="1" x14ac:dyDescent="0.35">
      <c r="B9" s="172" t="s">
        <v>166</v>
      </c>
      <c r="C9" s="173"/>
      <c r="D9" s="173"/>
      <c r="E9" s="173"/>
      <c r="F9" s="173"/>
      <c r="G9" s="173"/>
      <c r="H9" s="174"/>
    </row>
    <row r="10" spans="2:8" ht="44.25" customHeight="1" x14ac:dyDescent="0.35">
      <c r="B10" s="172"/>
      <c r="C10" s="173"/>
      <c r="D10" s="173"/>
      <c r="E10" s="173"/>
      <c r="F10" s="173"/>
      <c r="G10" s="173"/>
      <c r="H10" s="174"/>
    </row>
    <row r="11" spans="2:8" ht="15" thickBot="1" x14ac:dyDescent="0.4">
      <c r="B11" s="109"/>
      <c r="C11" s="112"/>
      <c r="D11" s="117"/>
      <c r="E11" s="118"/>
      <c r="F11" s="118"/>
      <c r="G11" s="119"/>
      <c r="H11" s="113"/>
    </row>
    <row r="12" spans="2:8" ht="15" thickTop="1" x14ac:dyDescent="0.35">
      <c r="B12" s="109"/>
      <c r="C12" s="175" t="s">
        <v>148</v>
      </c>
      <c r="D12" s="176"/>
      <c r="E12" s="177" t="s">
        <v>167</v>
      </c>
      <c r="F12" s="178"/>
      <c r="G12" s="112"/>
      <c r="H12" s="113"/>
    </row>
    <row r="13" spans="2:8" ht="35.25" customHeight="1" x14ac:dyDescent="0.35">
      <c r="B13" s="109"/>
      <c r="C13" s="182" t="s">
        <v>163</v>
      </c>
      <c r="D13" s="183"/>
      <c r="E13" s="184" t="s">
        <v>220</v>
      </c>
      <c r="F13" s="185"/>
      <c r="G13" s="112"/>
      <c r="H13" s="113"/>
    </row>
    <row r="14" spans="2:8" ht="35.25" customHeight="1" x14ac:dyDescent="0.35">
      <c r="B14" s="109"/>
      <c r="C14" s="182" t="s">
        <v>219</v>
      </c>
      <c r="D14" s="183"/>
      <c r="E14" s="184" t="s">
        <v>221</v>
      </c>
      <c r="F14" s="185"/>
      <c r="G14" s="112"/>
      <c r="H14" s="113"/>
    </row>
    <row r="15" spans="2:8" ht="25.9" customHeight="1" x14ac:dyDescent="0.35">
      <c r="B15" s="109"/>
      <c r="C15" s="182" t="s">
        <v>164</v>
      </c>
      <c r="D15" s="183"/>
      <c r="E15" s="184" t="s">
        <v>222</v>
      </c>
      <c r="F15" s="185"/>
      <c r="G15" s="112"/>
      <c r="H15" s="113"/>
    </row>
    <row r="16" spans="2:8" ht="25.15" customHeight="1" x14ac:dyDescent="0.35">
      <c r="B16" s="109"/>
      <c r="C16" s="182" t="s">
        <v>165</v>
      </c>
      <c r="D16" s="183"/>
      <c r="E16" s="184" t="s">
        <v>223</v>
      </c>
      <c r="F16" s="185"/>
      <c r="G16" s="112"/>
      <c r="H16" s="113"/>
    </row>
    <row r="17" spans="2:8" ht="21" customHeight="1" x14ac:dyDescent="0.35">
      <c r="B17" s="109"/>
      <c r="C17" s="182" t="s">
        <v>150</v>
      </c>
      <c r="D17" s="183"/>
      <c r="E17" s="184" t="s">
        <v>224</v>
      </c>
      <c r="F17" s="185"/>
      <c r="G17" s="112"/>
      <c r="H17" s="113"/>
    </row>
    <row r="18" spans="2:8" ht="83.5" customHeight="1" x14ac:dyDescent="0.35">
      <c r="B18" s="109"/>
      <c r="C18" s="156" t="s">
        <v>184</v>
      </c>
      <c r="D18" s="157"/>
      <c r="E18" s="158" t="s">
        <v>225</v>
      </c>
      <c r="F18" s="159"/>
      <c r="G18" s="112"/>
      <c r="H18" s="113"/>
    </row>
    <row r="19" spans="2:8" ht="34.5" customHeight="1" x14ac:dyDescent="0.35">
      <c r="B19" s="109"/>
      <c r="C19" s="156" t="s">
        <v>2</v>
      </c>
      <c r="D19" s="157"/>
      <c r="E19" s="158" t="s">
        <v>226</v>
      </c>
      <c r="F19" s="159"/>
      <c r="G19" s="112"/>
      <c r="H19" s="113"/>
    </row>
    <row r="20" spans="2:8" ht="87" customHeight="1" x14ac:dyDescent="0.35">
      <c r="B20" s="109"/>
      <c r="C20" s="186" t="s">
        <v>181</v>
      </c>
      <c r="D20" s="187"/>
      <c r="E20" s="158" t="s">
        <v>227</v>
      </c>
      <c r="F20" s="159"/>
      <c r="G20" s="112"/>
      <c r="H20" s="113"/>
    </row>
    <row r="21" spans="2:8" ht="103.15" customHeight="1" x14ac:dyDescent="0.35">
      <c r="B21" s="109"/>
      <c r="C21" s="186" t="s">
        <v>182</v>
      </c>
      <c r="D21" s="187"/>
      <c r="E21" s="158" t="s">
        <v>228</v>
      </c>
      <c r="F21" s="159"/>
      <c r="G21" s="112"/>
      <c r="H21" s="113"/>
    </row>
    <row r="22" spans="2:8" ht="72.75" customHeight="1" x14ac:dyDescent="0.35">
      <c r="B22" s="109"/>
      <c r="C22" s="186" t="s">
        <v>192</v>
      </c>
      <c r="D22" s="187"/>
      <c r="E22" s="158" t="s">
        <v>229</v>
      </c>
      <c r="F22" s="159"/>
      <c r="G22" s="112"/>
      <c r="H22" s="113"/>
    </row>
    <row r="23" spans="2:8" ht="72.75" customHeight="1" x14ac:dyDescent="0.35">
      <c r="B23" s="109"/>
      <c r="C23" s="186" t="s">
        <v>1</v>
      </c>
      <c r="D23" s="187"/>
      <c r="E23" s="158" t="s">
        <v>230</v>
      </c>
      <c r="F23" s="159"/>
      <c r="G23" s="112"/>
      <c r="H23" s="113"/>
    </row>
    <row r="24" spans="2:8" ht="102.65" customHeight="1" x14ac:dyDescent="0.35">
      <c r="B24" s="109"/>
      <c r="C24" s="186" t="s">
        <v>48</v>
      </c>
      <c r="D24" s="187"/>
      <c r="E24" s="158" t="s">
        <v>231</v>
      </c>
      <c r="F24" s="159"/>
      <c r="G24" s="112"/>
      <c r="H24" s="113"/>
    </row>
    <row r="25" spans="2:8" ht="106.15" customHeight="1" x14ac:dyDescent="0.35">
      <c r="B25" s="109"/>
      <c r="C25" s="186" t="s">
        <v>152</v>
      </c>
      <c r="D25" s="187"/>
      <c r="E25" s="158" t="s">
        <v>232</v>
      </c>
      <c r="F25" s="159"/>
      <c r="G25" s="112"/>
      <c r="H25" s="113"/>
    </row>
    <row r="26" spans="2:8" ht="87" customHeight="1" x14ac:dyDescent="0.35">
      <c r="B26" s="109"/>
      <c r="C26" s="156" t="s">
        <v>153</v>
      </c>
      <c r="D26" s="157"/>
      <c r="E26" s="158" t="s">
        <v>233</v>
      </c>
      <c r="F26" s="159"/>
      <c r="G26" s="112"/>
      <c r="H26" s="113"/>
    </row>
    <row r="27" spans="2:8" ht="42" customHeight="1" x14ac:dyDescent="0.35">
      <c r="B27" s="109"/>
      <c r="C27" s="156" t="s">
        <v>46</v>
      </c>
      <c r="D27" s="157"/>
      <c r="E27" s="158" t="s">
        <v>154</v>
      </c>
      <c r="F27" s="159"/>
      <c r="G27" s="112"/>
      <c r="H27" s="113"/>
    </row>
    <row r="28" spans="2:8" ht="30.65" customHeight="1" x14ac:dyDescent="0.35">
      <c r="B28" s="109"/>
      <c r="C28" s="156" t="s">
        <v>10</v>
      </c>
      <c r="D28" s="157"/>
      <c r="E28" s="158" t="s">
        <v>234</v>
      </c>
      <c r="F28" s="159"/>
      <c r="G28" s="112"/>
      <c r="H28" s="113"/>
    </row>
    <row r="29" spans="2:8" ht="59.25" customHeight="1" x14ac:dyDescent="0.35">
      <c r="B29" s="109"/>
      <c r="C29" s="156" t="s">
        <v>146</v>
      </c>
      <c r="D29" s="157"/>
      <c r="E29" s="158" t="s">
        <v>155</v>
      </c>
      <c r="F29" s="159"/>
      <c r="G29" s="112"/>
      <c r="H29" s="113"/>
    </row>
    <row r="30" spans="2:8" ht="27.65" customHeight="1" x14ac:dyDescent="0.35">
      <c r="B30" s="109"/>
      <c r="C30" s="156" t="s">
        <v>11</v>
      </c>
      <c r="D30" s="157"/>
      <c r="E30" s="158" t="s">
        <v>235</v>
      </c>
      <c r="F30" s="159"/>
      <c r="G30" s="112"/>
      <c r="H30" s="113"/>
    </row>
    <row r="31" spans="2:8" ht="41.5" customHeight="1" x14ac:dyDescent="0.35">
      <c r="B31" s="109"/>
      <c r="C31" s="156" t="s">
        <v>156</v>
      </c>
      <c r="D31" s="157"/>
      <c r="E31" s="158" t="s">
        <v>236</v>
      </c>
      <c r="F31" s="159"/>
      <c r="G31" s="112"/>
      <c r="H31" s="113"/>
    </row>
    <row r="32" spans="2:8" ht="35.25" customHeight="1" x14ac:dyDescent="0.35">
      <c r="B32" s="109"/>
      <c r="C32" s="156" t="s">
        <v>157</v>
      </c>
      <c r="D32" s="157"/>
      <c r="E32" s="158" t="s">
        <v>237</v>
      </c>
      <c r="F32" s="159"/>
      <c r="G32" s="112"/>
      <c r="H32" s="113"/>
    </row>
    <row r="33" spans="2:8" ht="30" customHeight="1" x14ac:dyDescent="0.35">
      <c r="B33" s="109"/>
      <c r="C33" s="156" t="s">
        <v>158</v>
      </c>
      <c r="D33" s="157"/>
      <c r="E33" s="158" t="s">
        <v>238</v>
      </c>
      <c r="F33" s="159"/>
      <c r="G33" s="112"/>
      <c r="H33" s="113"/>
    </row>
    <row r="34" spans="2:8" ht="35.25" customHeight="1" x14ac:dyDescent="0.35">
      <c r="B34" s="109"/>
      <c r="C34" s="156" t="s">
        <v>159</v>
      </c>
      <c r="D34" s="157"/>
      <c r="E34" s="158" t="s">
        <v>239</v>
      </c>
      <c r="F34" s="159"/>
      <c r="G34" s="112"/>
      <c r="H34" s="113"/>
    </row>
    <row r="35" spans="2:8" ht="31.5" customHeight="1" x14ac:dyDescent="0.35">
      <c r="B35" s="109"/>
      <c r="C35" s="156" t="s">
        <v>160</v>
      </c>
      <c r="D35" s="157"/>
      <c r="E35" s="158" t="s">
        <v>240</v>
      </c>
      <c r="F35" s="159"/>
      <c r="G35" s="112"/>
      <c r="H35" s="113"/>
    </row>
    <row r="36" spans="2:8" ht="35.25" customHeight="1" x14ac:dyDescent="0.35">
      <c r="B36" s="109"/>
      <c r="C36" s="156" t="s">
        <v>161</v>
      </c>
      <c r="D36" s="157"/>
      <c r="E36" s="158" t="s">
        <v>241</v>
      </c>
      <c r="F36" s="159"/>
      <c r="G36" s="112"/>
      <c r="H36" s="113"/>
    </row>
    <row r="37" spans="2:8" ht="101.5" customHeight="1" x14ac:dyDescent="0.35">
      <c r="B37" s="109"/>
      <c r="C37" s="156" t="s">
        <v>242</v>
      </c>
      <c r="D37" s="157"/>
      <c r="E37" s="158" t="s">
        <v>243</v>
      </c>
      <c r="F37" s="159"/>
      <c r="G37" s="112"/>
      <c r="H37" s="113"/>
    </row>
    <row r="38" spans="2:8" ht="29.25" customHeight="1" x14ac:dyDescent="0.35">
      <c r="B38" s="109"/>
      <c r="C38" s="156" t="s">
        <v>28</v>
      </c>
      <c r="D38" s="157"/>
      <c r="E38" s="158" t="s">
        <v>244</v>
      </c>
      <c r="F38" s="159"/>
      <c r="G38" s="112"/>
      <c r="H38" s="113"/>
    </row>
    <row r="39" spans="2:8" ht="82.5" customHeight="1" x14ac:dyDescent="0.35">
      <c r="B39" s="109"/>
      <c r="C39" s="156" t="s">
        <v>162</v>
      </c>
      <c r="D39" s="157"/>
      <c r="E39" s="158" t="s">
        <v>245</v>
      </c>
      <c r="F39" s="159"/>
      <c r="G39" s="112"/>
      <c r="H39" s="113"/>
    </row>
    <row r="40" spans="2:8" ht="46.5" customHeight="1" x14ac:dyDescent="0.35">
      <c r="B40" s="109"/>
      <c r="C40" s="156" t="s">
        <v>38</v>
      </c>
      <c r="D40" s="157"/>
      <c r="E40" s="158" t="s">
        <v>246</v>
      </c>
      <c r="F40" s="159"/>
      <c r="G40" s="112"/>
      <c r="H40" s="113"/>
    </row>
    <row r="41" spans="2:8" ht="6.75" customHeight="1" thickBot="1" x14ac:dyDescent="0.4">
      <c r="B41" s="109"/>
      <c r="C41" s="191"/>
      <c r="D41" s="192"/>
      <c r="E41" s="193"/>
      <c r="F41" s="194"/>
      <c r="G41" s="112"/>
      <c r="H41" s="113"/>
    </row>
    <row r="42" spans="2:8" ht="15" thickTop="1" x14ac:dyDescent="0.35">
      <c r="B42" s="109"/>
      <c r="C42" s="110"/>
      <c r="D42" s="110"/>
      <c r="E42" s="111"/>
      <c r="F42" s="111"/>
      <c r="G42" s="112"/>
      <c r="H42" s="113"/>
    </row>
    <row r="43" spans="2:8" ht="21" customHeight="1" x14ac:dyDescent="0.35">
      <c r="B43" s="188" t="s">
        <v>168</v>
      </c>
      <c r="C43" s="189"/>
      <c r="D43" s="189"/>
      <c r="E43" s="189"/>
      <c r="F43" s="189"/>
      <c r="G43" s="189"/>
      <c r="H43" s="190"/>
    </row>
    <row r="44" spans="2:8" ht="20.25" customHeight="1" x14ac:dyDescent="0.35">
      <c r="B44" s="188" t="s">
        <v>169</v>
      </c>
      <c r="C44" s="189"/>
      <c r="D44" s="189"/>
      <c r="E44" s="189"/>
      <c r="F44" s="189"/>
      <c r="G44" s="189"/>
      <c r="H44" s="190"/>
    </row>
    <row r="45" spans="2:8" ht="20.25" customHeight="1" x14ac:dyDescent="0.35">
      <c r="B45" s="188" t="s">
        <v>170</v>
      </c>
      <c r="C45" s="189"/>
      <c r="D45" s="189"/>
      <c r="E45" s="189"/>
      <c r="F45" s="189"/>
      <c r="G45" s="189"/>
      <c r="H45" s="190"/>
    </row>
    <row r="46" spans="2:8" ht="20.25" customHeight="1" x14ac:dyDescent="0.35">
      <c r="B46" s="188" t="s">
        <v>171</v>
      </c>
      <c r="C46" s="189"/>
      <c r="D46" s="189"/>
      <c r="E46" s="189"/>
      <c r="F46" s="189"/>
      <c r="G46" s="189"/>
      <c r="H46" s="190"/>
    </row>
    <row r="47" spans="2:8" x14ac:dyDescent="0.35">
      <c r="B47" s="188" t="s">
        <v>172</v>
      </c>
      <c r="C47" s="189"/>
      <c r="D47" s="189"/>
      <c r="E47" s="189"/>
      <c r="F47" s="189"/>
      <c r="G47" s="189"/>
      <c r="H47" s="190"/>
    </row>
    <row r="48" spans="2:8" ht="15" thickBot="1" x14ac:dyDescent="0.4">
      <c r="B48" s="114"/>
      <c r="C48" s="115"/>
      <c r="D48" s="115"/>
      <c r="E48" s="115"/>
      <c r="F48" s="115"/>
      <c r="G48" s="115"/>
      <c r="H48" s="116"/>
    </row>
  </sheetData>
  <mergeCells count="70">
    <mergeCell ref="E32:F32"/>
    <mergeCell ref="C32:D32"/>
    <mergeCell ref="C17:D17"/>
    <mergeCell ref="E17:F17"/>
    <mergeCell ref="C15:D15"/>
    <mergeCell ref="E15:F15"/>
    <mergeCell ref="C16:D16"/>
    <mergeCell ref="E16:F16"/>
    <mergeCell ref="E25:F25"/>
    <mergeCell ref="C25:D25"/>
    <mergeCell ref="C29:D29"/>
    <mergeCell ref="E29:F29"/>
    <mergeCell ref="C28:D28"/>
    <mergeCell ref="E28:F28"/>
    <mergeCell ref="C24:D24"/>
    <mergeCell ref="C20:D20"/>
    <mergeCell ref="B44:H44"/>
    <mergeCell ref="C41:D41"/>
    <mergeCell ref="E41:F41"/>
    <mergeCell ref="C40:D40"/>
    <mergeCell ref="E40:F40"/>
    <mergeCell ref="C36:D36"/>
    <mergeCell ref="B43:H43"/>
    <mergeCell ref="C33:D33"/>
    <mergeCell ref="E33:F33"/>
    <mergeCell ref="E36:F36"/>
    <mergeCell ref="C37:D37"/>
    <mergeCell ref="C38:D38"/>
    <mergeCell ref="E38:F38"/>
    <mergeCell ref="C39:D39"/>
    <mergeCell ref="E39:F39"/>
    <mergeCell ref="B45:H45"/>
    <mergeCell ref="B46:H46"/>
    <mergeCell ref="B47:H47"/>
    <mergeCell ref="E26:F26"/>
    <mergeCell ref="C26:D26"/>
    <mergeCell ref="C27:D27"/>
    <mergeCell ref="E27:F27"/>
    <mergeCell ref="C30:D30"/>
    <mergeCell ref="E30:F30"/>
    <mergeCell ref="E37:F37"/>
    <mergeCell ref="C35:D35"/>
    <mergeCell ref="C34:D34"/>
    <mergeCell ref="E34:F34"/>
    <mergeCell ref="E35:F35"/>
    <mergeCell ref="C31:D31"/>
    <mergeCell ref="E31:F31"/>
    <mergeCell ref="C14:D14"/>
    <mergeCell ref="E14:F14"/>
    <mergeCell ref="C21:D21"/>
    <mergeCell ref="C23:D23"/>
    <mergeCell ref="E20:F20"/>
    <mergeCell ref="E21:F21"/>
    <mergeCell ref="E23:F23"/>
    <mergeCell ref="C19:D19"/>
    <mergeCell ref="E19:F19"/>
    <mergeCell ref="E24:F24"/>
    <mergeCell ref="B2:H2"/>
    <mergeCell ref="B4:H5"/>
    <mergeCell ref="B6:H6"/>
    <mergeCell ref="B9:H10"/>
    <mergeCell ref="C12:D12"/>
    <mergeCell ref="E12:F12"/>
    <mergeCell ref="B7:H7"/>
    <mergeCell ref="C13:D13"/>
    <mergeCell ref="E13:F13"/>
    <mergeCell ref="C18:D18"/>
    <mergeCell ref="E18:F18"/>
    <mergeCell ref="C22:D22"/>
    <mergeCell ref="E22:F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53125" defaultRowHeight="13" x14ac:dyDescent="0.3"/>
  <cols>
    <col min="1" max="1" width="32.81640625" style="9" customWidth="1"/>
    <col min="2" max="16384" width="11.453125" style="9"/>
  </cols>
  <sheetData>
    <row r="3" spans="1:1" x14ac:dyDescent="0.3">
      <c r="A3" s="10" t="s">
        <v>13</v>
      </c>
    </row>
    <row r="4" spans="1:1" x14ac:dyDescent="0.3">
      <c r="A4" s="10" t="s">
        <v>14</v>
      </c>
    </row>
    <row r="5" spans="1:1" x14ac:dyDescent="0.3">
      <c r="A5" s="10" t="s">
        <v>15</v>
      </c>
    </row>
    <row r="6" spans="1:1" x14ac:dyDescent="0.3">
      <c r="A6" s="10" t="s">
        <v>9</v>
      </c>
    </row>
    <row r="7" spans="1:1" x14ac:dyDescent="0.3">
      <c r="A7" s="10" t="s">
        <v>8</v>
      </c>
    </row>
    <row r="8" spans="1:1" x14ac:dyDescent="0.3">
      <c r="A8" s="10" t="s">
        <v>18</v>
      </c>
    </row>
    <row r="9" spans="1:1" x14ac:dyDescent="0.3">
      <c r="A9" s="10" t="s">
        <v>19</v>
      </c>
    </row>
    <row r="10" spans="1:1" x14ac:dyDescent="0.3">
      <c r="A10" s="10" t="s">
        <v>21</v>
      </c>
    </row>
    <row r="11" spans="1:1" x14ac:dyDescent="0.3">
      <c r="A11" s="10" t="s">
        <v>22</v>
      </c>
    </row>
    <row r="12" spans="1:1" x14ac:dyDescent="0.3">
      <c r="A12" s="10" t="s">
        <v>24</v>
      </c>
    </row>
    <row r="13" spans="1:1" x14ac:dyDescent="0.3">
      <c r="A13" s="10" t="s">
        <v>25</v>
      </c>
    </row>
    <row r="14" spans="1:1" x14ac:dyDescent="0.3">
      <c r="A14" s="10" t="s">
        <v>26</v>
      </c>
    </row>
    <row r="16" spans="1:1" x14ac:dyDescent="0.3">
      <c r="A16" s="10" t="s">
        <v>29</v>
      </c>
    </row>
    <row r="17" spans="1:1" x14ac:dyDescent="0.3">
      <c r="A17" s="10" t="s">
        <v>30</v>
      </c>
    </row>
    <row r="18" spans="1:1" x14ac:dyDescent="0.3">
      <c r="A18" s="10" t="s">
        <v>31</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61"/>
  <sheetViews>
    <sheetView tabSelected="1" topLeftCell="H21" zoomScale="50" zoomScaleNormal="50" workbookViewId="0">
      <selection activeCell="T36" sqref="T36"/>
    </sheetView>
  </sheetViews>
  <sheetFormatPr baseColWidth="10" defaultColWidth="11.453125" defaultRowHeight="14" x14ac:dyDescent="0.3"/>
  <cols>
    <col min="1" max="1" width="4" style="2" bestFit="1" customWidth="1"/>
    <col min="2" max="2" width="27.26953125" style="2" customWidth="1"/>
    <col min="3" max="4" width="36.1796875" style="2" customWidth="1"/>
    <col min="5" max="5" width="32.453125" style="1" customWidth="1"/>
    <col min="6" max="7" width="36.1796875" style="2" customWidth="1"/>
    <col min="8" max="8" width="19" style="5" customWidth="1"/>
    <col min="9" max="9" width="17.81640625" style="1" customWidth="1"/>
    <col min="10" max="10" width="16.54296875" style="1" customWidth="1"/>
    <col min="11" max="11" width="6.26953125" style="1" bestFit="1" customWidth="1"/>
    <col min="12" max="12" width="27.26953125" style="1" bestFit="1" customWidth="1"/>
    <col min="13" max="13" width="30.54296875" style="1" hidden="1" customWidth="1"/>
    <col min="14" max="14" width="17.54296875" style="1" customWidth="1"/>
    <col min="15" max="15" width="6.26953125" style="1" bestFit="1" customWidth="1"/>
    <col min="16" max="16" width="16" style="1" customWidth="1"/>
    <col min="17" max="17" width="5.81640625" style="1" customWidth="1"/>
    <col min="18" max="18" width="31" style="1" customWidth="1"/>
    <col min="19" max="19" width="15.1796875" style="1" bestFit="1" customWidth="1"/>
    <col min="20" max="20" width="6.81640625" style="1" customWidth="1"/>
    <col min="21" max="21" width="5" style="1" customWidth="1"/>
    <col min="22" max="22" width="5.54296875" style="1" customWidth="1"/>
    <col min="23" max="23" width="7.1796875" style="1" customWidth="1"/>
    <col min="24" max="24" width="6.7265625" style="1" customWidth="1"/>
    <col min="25" max="25" width="7.54296875" style="1" customWidth="1"/>
    <col min="26" max="26" width="38.26953125" style="1" customWidth="1"/>
    <col min="27" max="27" width="8.7265625" style="1" customWidth="1"/>
    <col min="28" max="28" width="10.453125" style="1" customWidth="1"/>
    <col min="29" max="29" width="9.26953125" style="1" customWidth="1"/>
    <col min="30" max="30" width="9.1796875" style="1" customWidth="1"/>
    <col min="31" max="31" width="8.453125" style="1" customWidth="1"/>
    <col min="32" max="32" width="7.26953125" style="1" customWidth="1"/>
    <col min="33" max="33" width="23" style="1" customWidth="1"/>
    <col min="34" max="34" width="18.81640625" style="1" customWidth="1"/>
    <col min="35" max="35" width="16.81640625" style="1" customWidth="1"/>
    <col min="36" max="36" width="14.81640625" style="1" customWidth="1"/>
    <col min="37" max="37" width="18.54296875" style="1" customWidth="1"/>
    <col min="38" max="38" width="21" style="1" customWidth="1"/>
    <col min="39" max="16384" width="11.453125" style="1"/>
  </cols>
  <sheetData>
    <row r="1" spans="1:70" ht="16.5" customHeight="1" x14ac:dyDescent="0.3">
      <c r="A1" s="245" t="s">
        <v>127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7"/>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50"/>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8"/>
      <c r="F3" s="28"/>
      <c r="G3" s="2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22" t="s">
        <v>41</v>
      </c>
      <c r="B4" s="223"/>
      <c r="C4" s="195" t="s">
        <v>283</v>
      </c>
      <c r="D4" s="196"/>
      <c r="E4" s="196"/>
      <c r="F4" s="196"/>
      <c r="G4" s="196"/>
      <c r="H4" s="196"/>
      <c r="I4" s="196"/>
      <c r="J4" s="196"/>
      <c r="K4" s="196"/>
      <c r="L4" s="196"/>
      <c r="M4" s="196"/>
      <c r="N4" s="196"/>
      <c r="O4" s="196"/>
      <c r="P4" s="197"/>
      <c r="Q4" s="242"/>
      <c r="R4" s="242"/>
      <c r="S4" s="242"/>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6.25" customHeight="1" x14ac:dyDescent="0.3">
      <c r="A5" s="222" t="s">
        <v>174</v>
      </c>
      <c r="B5" s="223"/>
      <c r="C5" s="224" t="s">
        <v>268</v>
      </c>
      <c r="D5" s="225"/>
      <c r="E5" s="225"/>
      <c r="F5" s="225"/>
      <c r="G5" s="225"/>
      <c r="H5" s="225"/>
      <c r="I5" s="225"/>
      <c r="J5" s="225"/>
      <c r="K5" s="225"/>
      <c r="L5" s="225"/>
      <c r="M5" s="225"/>
      <c r="N5" s="225"/>
      <c r="O5" s="225"/>
      <c r="P5" s="226"/>
      <c r="Q5" s="242"/>
      <c r="R5" s="242"/>
      <c r="S5" s="242"/>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30" customHeight="1" x14ac:dyDescent="0.3">
      <c r="A6" s="222" t="s">
        <v>115</v>
      </c>
      <c r="B6" s="223"/>
      <c r="C6" s="224" t="s">
        <v>286</v>
      </c>
      <c r="D6" s="225"/>
      <c r="E6" s="225"/>
      <c r="F6" s="225"/>
      <c r="G6" s="225"/>
      <c r="H6" s="225"/>
      <c r="I6" s="225"/>
      <c r="J6" s="225"/>
      <c r="K6" s="225"/>
      <c r="L6" s="225"/>
      <c r="M6" s="225"/>
      <c r="N6" s="225"/>
      <c r="O6" s="225"/>
      <c r="P6" s="226"/>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49.5" customHeight="1" x14ac:dyDescent="0.3">
      <c r="A7" s="222" t="s">
        <v>42</v>
      </c>
      <c r="B7" s="223"/>
      <c r="C7" s="229" t="s">
        <v>287</v>
      </c>
      <c r="D7" s="230"/>
      <c r="E7" s="230"/>
      <c r="F7" s="230"/>
      <c r="G7" s="230"/>
      <c r="H7" s="230"/>
      <c r="I7" s="230"/>
      <c r="J7" s="230"/>
      <c r="K7" s="230"/>
      <c r="L7" s="230"/>
      <c r="M7" s="230"/>
      <c r="N7" s="230"/>
      <c r="O7" s="230"/>
      <c r="P7" s="231"/>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3">
      <c r="A8" s="251" t="s">
        <v>123</v>
      </c>
      <c r="B8" s="252"/>
      <c r="C8" s="252"/>
      <c r="D8" s="252"/>
      <c r="E8" s="252"/>
      <c r="F8" s="252"/>
      <c r="G8" s="252"/>
      <c r="H8" s="252"/>
      <c r="I8" s="253"/>
      <c r="J8" s="251" t="s">
        <v>124</v>
      </c>
      <c r="K8" s="252"/>
      <c r="L8" s="252"/>
      <c r="M8" s="252"/>
      <c r="N8" s="252"/>
      <c r="O8" s="252"/>
      <c r="P8" s="253"/>
      <c r="Q8" s="251" t="s">
        <v>125</v>
      </c>
      <c r="R8" s="252"/>
      <c r="S8" s="252"/>
      <c r="T8" s="252"/>
      <c r="U8" s="252"/>
      <c r="V8" s="252"/>
      <c r="W8" s="252"/>
      <c r="X8" s="252"/>
      <c r="Y8" s="253"/>
      <c r="Z8" s="251" t="s">
        <v>126</v>
      </c>
      <c r="AA8" s="252"/>
      <c r="AB8" s="252"/>
      <c r="AC8" s="252"/>
      <c r="AD8" s="252"/>
      <c r="AE8" s="252"/>
      <c r="AF8" s="253"/>
      <c r="AG8" s="251" t="s">
        <v>33</v>
      </c>
      <c r="AH8" s="252"/>
      <c r="AI8" s="252"/>
      <c r="AJ8" s="252"/>
      <c r="AK8" s="252"/>
      <c r="AL8" s="253"/>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ht="16.5" customHeight="1" x14ac:dyDescent="0.3">
      <c r="A9" s="254" t="s">
        <v>0</v>
      </c>
      <c r="B9" s="234" t="s">
        <v>183</v>
      </c>
      <c r="C9" s="244" t="s">
        <v>2</v>
      </c>
      <c r="D9" s="239" t="s">
        <v>181</v>
      </c>
      <c r="E9" s="234" t="s">
        <v>182</v>
      </c>
      <c r="F9" s="243" t="s">
        <v>192</v>
      </c>
      <c r="G9" s="243" t="s">
        <v>1</v>
      </c>
      <c r="H9" s="239" t="s">
        <v>48</v>
      </c>
      <c r="I9" s="234" t="s">
        <v>119</v>
      </c>
      <c r="J9" s="235" t="s">
        <v>32</v>
      </c>
      <c r="K9" s="236" t="s">
        <v>4</v>
      </c>
      <c r="L9" s="239" t="s">
        <v>84</v>
      </c>
      <c r="M9" s="239" t="s">
        <v>89</v>
      </c>
      <c r="N9" s="238" t="s">
        <v>43</v>
      </c>
      <c r="O9" s="236" t="s">
        <v>4</v>
      </c>
      <c r="P9" s="234" t="s">
        <v>46</v>
      </c>
      <c r="Q9" s="227" t="s">
        <v>10</v>
      </c>
      <c r="R9" s="233" t="s">
        <v>146</v>
      </c>
      <c r="S9" s="239" t="s">
        <v>11</v>
      </c>
      <c r="T9" s="233" t="s">
        <v>7</v>
      </c>
      <c r="U9" s="233"/>
      <c r="V9" s="233"/>
      <c r="W9" s="233"/>
      <c r="X9" s="233"/>
      <c r="Y9" s="233"/>
      <c r="Z9" s="232" t="s">
        <v>122</v>
      </c>
      <c r="AA9" s="232" t="s">
        <v>44</v>
      </c>
      <c r="AB9" s="232" t="s">
        <v>4</v>
      </c>
      <c r="AC9" s="232" t="s">
        <v>45</v>
      </c>
      <c r="AD9" s="232" t="s">
        <v>4</v>
      </c>
      <c r="AE9" s="232" t="s">
        <v>47</v>
      </c>
      <c r="AF9" s="227" t="s">
        <v>28</v>
      </c>
      <c r="AG9" s="233" t="s">
        <v>33</v>
      </c>
      <c r="AH9" s="233" t="s">
        <v>34</v>
      </c>
      <c r="AI9" s="233" t="s">
        <v>35</v>
      </c>
      <c r="AJ9" s="233" t="s">
        <v>37</v>
      </c>
      <c r="AK9" s="233" t="s">
        <v>36</v>
      </c>
      <c r="AL9" s="233" t="s">
        <v>38</v>
      </c>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row>
    <row r="10" spans="1:70" s="4" customFormat="1" ht="94.5" customHeight="1" x14ac:dyDescent="0.35">
      <c r="A10" s="255"/>
      <c r="B10" s="233"/>
      <c r="C10" s="244"/>
      <c r="D10" s="234"/>
      <c r="E10" s="233"/>
      <c r="F10" s="244"/>
      <c r="G10" s="244"/>
      <c r="H10" s="234"/>
      <c r="I10" s="233"/>
      <c r="J10" s="234"/>
      <c r="K10" s="237"/>
      <c r="L10" s="234"/>
      <c r="M10" s="234"/>
      <c r="N10" s="237"/>
      <c r="O10" s="237"/>
      <c r="P10" s="233"/>
      <c r="Q10" s="228"/>
      <c r="R10" s="233"/>
      <c r="S10" s="234"/>
      <c r="T10" s="7" t="s">
        <v>12</v>
      </c>
      <c r="U10" s="7" t="s">
        <v>16</v>
      </c>
      <c r="V10" s="7" t="s">
        <v>27</v>
      </c>
      <c r="W10" s="7" t="s">
        <v>17</v>
      </c>
      <c r="X10" s="7" t="s">
        <v>20</v>
      </c>
      <c r="Y10" s="7" t="s">
        <v>23</v>
      </c>
      <c r="Z10" s="232"/>
      <c r="AA10" s="232"/>
      <c r="AB10" s="232"/>
      <c r="AC10" s="232"/>
      <c r="AD10" s="232"/>
      <c r="AE10" s="232"/>
      <c r="AF10" s="228"/>
      <c r="AG10" s="233"/>
      <c r="AH10" s="233"/>
      <c r="AI10" s="233"/>
      <c r="AJ10" s="233"/>
      <c r="AK10" s="233"/>
      <c r="AL10" s="233"/>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row>
    <row r="11" spans="1:70" s="3" customFormat="1" ht="167.25" customHeight="1" x14ac:dyDescent="0.35">
      <c r="A11" s="207">
        <v>1</v>
      </c>
      <c r="B11" s="198" t="s">
        <v>185</v>
      </c>
      <c r="C11" s="198" t="s">
        <v>116</v>
      </c>
      <c r="D11" s="137" t="s">
        <v>288</v>
      </c>
      <c r="E11" s="198" t="s">
        <v>289</v>
      </c>
      <c r="F11" s="210" t="s">
        <v>194</v>
      </c>
      <c r="G11" s="210" t="s">
        <v>290</v>
      </c>
      <c r="H11" s="198" t="s">
        <v>217</v>
      </c>
      <c r="I11" s="201">
        <v>12</v>
      </c>
      <c r="J11" s="204" t="str">
        <f>IF(I11&lt;=0,"",IF(I11&lt;=5,"Muy Baja",IF(I11&lt;=24,"Baja",IF(I11&lt;=150,"Media",IF(I11&lt;=300,"Alta","Muy Alta")))))</f>
        <v>Baja</v>
      </c>
      <c r="K11" s="216">
        <f>IF(J11="","",IF(J11="Muy Baja",0.2,IF(J11="Baja",0.4,IF(J11="Media",0.6,IF(J11="Alta",0.8,IF(J11="Muy Alta",1,))))))</f>
        <v>0.4</v>
      </c>
      <c r="L11" s="219" t="s">
        <v>137</v>
      </c>
      <c r="M11" s="216" t="str">
        <f ca="1">IF(NOT(ISERROR(MATCH(L11,'Tabla Impacto'!$B$221:$B$223,0))),'Tabla Impacto'!$F$223&amp;"Por favor no seleccionar los criterios de impacto(Afectación Económica o presupuestal y Pérdida Reputacional)",L11)</f>
        <v xml:space="preserve">     El riesgo afecta la imagen de la entidad internamente, de conocimiento general, nivel interno, de junta dircetiva y accionistas y/o de provedores</v>
      </c>
      <c r="N11" s="204" t="str">
        <f ca="1">IF(OR(M11='Tabla Impacto'!$C$11,M11='Tabla Impacto'!$D$11),"Leve",IF(OR(M11='Tabla Impacto'!$C$12,M11='Tabla Impacto'!$D$12),"Menor",IF(OR(M11='Tabla Impacto'!$C$13,M11='Tabla Impacto'!$D$13),"Moderado",IF(OR(M11='Tabla Impacto'!$C$14,M11='Tabla Impacto'!$D$14),"Mayor",IF(OR(M11='Tabla Impacto'!$C$15,M11='Tabla Impacto'!$D$15),"Catastrófico","")))))</f>
        <v>Menor</v>
      </c>
      <c r="O11" s="216">
        <f ca="1">IF(N11="","",IF(N11="Leve",0.2,IF(N11="Menor",0.4,IF(N11="Moderado",0.6,IF(N11="Mayor",0.8,IF(N11="Catastrófico",1,))))))</f>
        <v>0.4</v>
      </c>
      <c r="P11" s="213"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Moderado</v>
      </c>
      <c r="Q11" s="123">
        <v>1</v>
      </c>
      <c r="R11" s="124" t="s">
        <v>291</v>
      </c>
      <c r="S11" s="125" t="str">
        <f>IF(OR(T11="Preventivo",T11="Detectivo"),"Probabilidad",IF(T11="Correctivo","Impacto",""))</f>
        <v>Probabilidad</v>
      </c>
      <c r="T11" s="126" t="s">
        <v>14</v>
      </c>
      <c r="U11" s="126" t="s">
        <v>8</v>
      </c>
      <c r="V11" s="127" t="str">
        <f>IF(AND(T11="Preventivo",U11="Automático"),"50%",IF(AND(T11="Preventivo",U11="Manual"),"40%",IF(AND(T11="Detectivo",U11="Automático"),"40%",IF(AND(T11="Detectivo",U11="Manual"),"30%",IF(AND(T11="Correctivo",U11="Automático"),"35%",IF(AND(T11="Correctivo",U11="Manual"),"25%",""))))))</f>
        <v>30%</v>
      </c>
      <c r="W11" s="126" t="s">
        <v>19</v>
      </c>
      <c r="X11" s="126" t="s">
        <v>21</v>
      </c>
      <c r="Y11" s="126" t="s">
        <v>111</v>
      </c>
      <c r="Z11" s="128">
        <f>IFERROR(IF(S11="Probabilidad",(K11-(+K11*V11)),IF(S11="Impacto",K11,"")),"")</f>
        <v>0.28000000000000003</v>
      </c>
      <c r="AA11" s="129" t="str">
        <f>IFERROR(IF(Z11="","",IF(Z11&lt;=0.2,"Muy Baja",IF(Z11&lt;=0.4,"Baja",IF(Z11&lt;=0.6,"Media",IF(Z11&lt;=0.8,"Alta","Muy Alta"))))),"")</f>
        <v>Baja</v>
      </c>
      <c r="AB11" s="130">
        <f>+Z11</f>
        <v>0.28000000000000003</v>
      </c>
      <c r="AC11" s="129" t="str">
        <f ca="1">IFERROR(IF(AD11="","",IF(AD11&lt;=0.2,"Leve",IF(AD11&lt;=0.4,"Menor",IF(AD11&lt;=0.6,"Moderado",IF(AD11&lt;=0.8,"Mayor","Catastrófico"))))),"")</f>
        <v>Menor</v>
      </c>
      <c r="AD11" s="130">
        <f ca="1">IFERROR(IF(S11="Impacto",(O11-(+O11*V11)),IF(S11="Probabilidad",O11,"")),"")</f>
        <v>0.4</v>
      </c>
      <c r="AE11" s="131"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32" t="s">
        <v>30</v>
      </c>
      <c r="AG11" s="133"/>
      <c r="AH11" s="134"/>
      <c r="AI11" s="135"/>
      <c r="AJ11" s="135"/>
      <c r="AK11" s="133"/>
      <c r="AL11" s="134"/>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row>
    <row r="12" spans="1:70" ht="8.25" customHeight="1" x14ac:dyDescent="0.3">
      <c r="A12" s="208"/>
      <c r="B12" s="199"/>
      <c r="C12" s="199"/>
      <c r="D12" s="138"/>
      <c r="E12" s="199"/>
      <c r="F12" s="211"/>
      <c r="G12" s="211"/>
      <c r="H12" s="199"/>
      <c r="I12" s="202"/>
      <c r="J12" s="205"/>
      <c r="K12" s="217"/>
      <c r="L12" s="220"/>
      <c r="M12" s="217">
        <f ca="1">IF(NOT(ISERROR(MATCH(L12,_xlfn.ANCHORARRAY(#REF!),0))),#REF!&amp;"Por favor no seleccionar los criterios de impacto",L12)</f>
        <v>0</v>
      </c>
      <c r="N12" s="205"/>
      <c r="O12" s="217"/>
      <c r="P12" s="214"/>
      <c r="Q12" s="123"/>
      <c r="R12" s="124"/>
      <c r="S12" s="125"/>
      <c r="T12" s="126"/>
      <c r="U12" s="126"/>
      <c r="V12" s="127" t="str">
        <f t="shared" ref="V12:V16" si="0">IF(AND(T12="Preventivo",U12="Automático"),"50%",IF(AND(T12="Preventivo",U12="Manual"),"40%",IF(AND(T12="Detectivo",U12="Automático"),"40%",IF(AND(T12="Detectivo",U12="Manual"),"30%",IF(AND(T12="Correctivo",U12="Automático"),"35%",IF(AND(T12="Correctivo",U12="Manual"),"25%",""))))))</f>
        <v/>
      </c>
      <c r="W12" s="126"/>
      <c r="X12" s="126"/>
      <c r="Y12" s="126"/>
      <c r="Z12" s="128" t="str">
        <f>IFERROR(IF(AND(S11="Probabilidad",S12="Probabilidad"),(AB11-(+AB11*V12)),IF(S12="Probabilidad",(K11-(+K11*V12)),IF(S12="Impacto",AB11,""))),"")</f>
        <v/>
      </c>
      <c r="AA12" s="129" t="str">
        <f t="shared" ref="AA12:AA58" si="1">IFERROR(IF(Z12="","",IF(Z12&lt;=0.2,"Muy Baja",IF(Z12&lt;=0.4,"Baja",IF(Z12&lt;=0.6,"Media",IF(Z12&lt;=0.8,"Alta","Muy Alta"))))),"")</f>
        <v/>
      </c>
      <c r="AB12" s="130" t="str">
        <f t="shared" ref="AB12:AB16" si="2">+Z12</f>
        <v/>
      </c>
      <c r="AC12" s="129" t="str">
        <f t="shared" ref="AC12:AC58" si="3">IFERROR(IF(AD12="","",IF(AD12&lt;=0.2,"Leve",IF(AD12&lt;=0.4,"Menor",IF(AD12&lt;=0.6,"Moderado",IF(AD12&lt;=0.8,"Mayor","Catastrófico"))))),"")</f>
        <v/>
      </c>
      <c r="AD12" s="130" t="str">
        <f>IFERROR(IF(AND(S11="Impacto",S12="Impacto"),(AD11-(+AD11*V12)),IF(S12="Impacto",(O11-(+O11*V12)),IF(S12="Probabilidad",AD11,""))),"")</f>
        <v/>
      </c>
      <c r="AE12" s="131" t="str">
        <f t="shared" ref="AE12:AE16" si="4">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32"/>
      <c r="AG12" s="133"/>
      <c r="AH12" s="134"/>
      <c r="AI12" s="135"/>
      <c r="AJ12" s="135"/>
      <c r="AK12" s="133"/>
      <c r="AL12" s="134"/>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8.25" customHeight="1" x14ac:dyDescent="0.3">
      <c r="A13" s="208"/>
      <c r="B13" s="199"/>
      <c r="C13" s="199"/>
      <c r="D13" s="138"/>
      <c r="E13" s="199"/>
      <c r="F13" s="211"/>
      <c r="G13" s="211"/>
      <c r="H13" s="199"/>
      <c r="I13" s="202"/>
      <c r="J13" s="205"/>
      <c r="K13" s="217"/>
      <c r="L13" s="220"/>
      <c r="M13" s="217">
        <f ca="1">IF(NOT(ISERROR(MATCH(L13,_xlfn.ANCHORARRAY(#REF!),0))),#REF!&amp;"Por favor no seleccionar los criterios de impacto",L13)</f>
        <v>0</v>
      </c>
      <c r="N13" s="205"/>
      <c r="O13" s="217"/>
      <c r="P13" s="214"/>
      <c r="Q13" s="123"/>
      <c r="R13" s="136"/>
      <c r="S13" s="125" t="str">
        <f>IF(OR(T13="Preventivo",T13="Detectivo"),"Probabilidad",IF(T13="Correctivo","Impacto",""))</f>
        <v/>
      </c>
      <c r="T13" s="126"/>
      <c r="U13" s="126"/>
      <c r="V13" s="127" t="str">
        <f t="shared" si="0"/>
        <v/>
      </c>
      <c r="W13" s="126"/>
      <c r="X13" s="126"/>
      <c r="Y13" s="126"/>
      <c r="Z13" s="128" t="str">
        <f>IFERROR(IF(AND(S12="Probabilidad",S13="Probabilidad"),(AB12-(+AB12*V13)),IF(AND(S12="Impacto",S13="Probabilidad"),(AB11-(+AB11*V13)),IF(S13="Impacto",AB12,""))),"")</f>
        <v/>
      </c>
      <c r="AA13" s="129" t="str">
        <f t="shared" si="1"/>
        <v/>
      </c>
      <c r="AB13" s="130" t="str">
        <f t="shared" si="2"/>
        <v/>
      </c>
      <c r="AC13" s="129" t="str">
        <f t="shared" si="3"/>
        <v/>
      </c>
      <c r="AD13" s="130" t="str">
        <f>IFERROR(IF(AND(S12="Impacto",S13="Impacto"),(AD12-(+AD12*V13)),IF(AND(S12="Probabilidad",S13="Impacto"),(AD11-(+AD11*V13)),IF(S13="Probabilidad",AD12,""))),"")</f>
        <v/>
      </c>
      <c r="AE13" s="131" t="str">
        <f t="shared" si="4"/>
        <v/>
      </c>
      <c r="AF13" s="132"/>
      <c r="AG13" s="133"/>
      <c r="AH13" s="134"/>
      <c r="AI13" s="135"/>
      <c r="AJ13" s="135"/>
      <c r="AK13" s="133"/>
      <c r="AL13" s="134"/>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8.25" customHeight="1" x14ac:dyDescent="0.3">
      <c r="A14" s="208"/>
      <c r="B14" s="199"/>
      <c r="C14" s="199"/>
      <c r="D14" s="138"/>
      <c r="E14" s="199"/>
      <c r="F14" s="211"/>
      <c r="G14" s="211"/>
      <c r="H14" s="199"/>
      <c r="I14" s="202"/>
      <c r="J14" s="205"/>
      <c r="K14" s="217"/>
      <c r="L14" s="220"/>
      <c r="M14" s="217">
        <f ca="1">IF(NOT(ISERROR(MATCH(L14,_xlfn.ANCHORARRAY(#REF!),0))),#REF!&amp;"Por favor no seleccionar los criterios de impacto",L14)</f>
        <v>0</v>
      </c>
      <c r="N14" s="205"/>
      <c r="O14" s="217"/>
      <c r="P14" s="214"/>
      <c r="Q14" s="123"/>
      <c r="R14" s="124"/>
      <c r="S14" s="125" t="str">
        <f t="shared" ref="S14:S16" si="5">IF(OR(T14="Preventivo",T14="Detectivo"),"Probabilidad",IF(T14="Correctivo","Impacto",""))</f>
        <v/>
      </c>
      <c r="T14" s="126"/>
      <c r="U14" s="126"/>
      <c r="V14" s="127" t="str">
        <f t="shared" si="0"/>
        <v/>
      </c>
      <c r="W14" s="126"/>
      <c r="X14" s="126"/>
      <c r="Y14" s="126"/>
      <c r="Z14" s="128" t="str">
        <f t="shared" ref="Z14:Z16" si="6">IFERROR(IF(AND(S13="Probabilidad",S14="Probabilidad"),(AB13-(+AB13*V14)),IF(AND(S13="Impacto",S14="Probabilidad"),(AB12-(+AB12*V14)),IF(S14="Impacto",AB13,""))),"")</f>
        <v/>
      </c>
      <c r="AA14" s="129" t="str">
        <f t="shared" si="1"/>
        <v/>
      </c>
      <c r="AB14" s="130" t="str">
        <f t="shared" si="2"/>
        <v/>
      </c>
      <c r="AC14" s="129" t="str">
        <f t="shared" si="3"/>
        <v/>
      </c>
      <c r="AD14" s="130" t="str">
        <f t="shared" ref="AD14:AD16" si="7">IFERROR(IF(AND(S13="Impacto",S14="Impacto"),(AD13-(+AD13*V14)),IF(AND(S13="Probabilidad",S14="Impacto"),(AD12-(+AD12*V14)),IF(S14="Probabilidad",AD13,""))),"")</f>
        <v/>
      </c>
      <c r="AE14" s="131" t="str">
        <f>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32"/>
      <c r="AG14" s="133"/>
      <c r="AH14" s="134"/>
      <c r="AI14" s="135"/>
      <c r="AJ14" s="135"/>
      <c r="AK14" s="133"/>
      <c r="AL14" s="134"/>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8.25" customHeight="1" x14ac:dyDescent="0.3">
      <c r="A15" s="208"/>
      <c r="B15" s="199"/>
      <c r="C15" s="199"/>
      <c r="D15" s="138"/>
      <c r="E15" s="199"/>
      <c r="F15" s="211"/>
      <c r="G15" s="211"/>
      <c r="H15" s="199"/>
      <c r="I15" s="202"/>
      <c r="J15" s="205"/>
      <c r="K15" s="217"/>
      <c r="L15" s="220"/>
      <c r="M15" s="217">
        <f ca="1">IF(NOT(ISERROR(MATCH(L15,_xlfn.ANCHORARRAY(#REF!),0))),#REF!&amp;"Por favor no seleccionar los criterios de impacto",L15)</f>
        <v>0</v>
      </c>
      <c r="N15" s="205"/>
      <c r="O15" s="217"/>
      <c r="P15" s="214"/>
      <c r="Q15" s="123"/>
      <c r="R15" s="124"/>
      <c r="S15" s="125" t="str">
        <f t="shared" si="5"/>
        <v/>
      </c>
      <c r="T15" s="126"/>
      <c r="U15" s="126"/>
      <c r="V15" s="127" t="str">
        <f t="shared" si="0"/>
        <v/>
      </c>
      <c r="W15" s="126"/>
      <c r="X15" s="126"/>
      <c r="Y15" s="126"/>
      <c r="Z15" s="128" t="str">
        <f t="shared" si="6"/>
        <v/>
      </c>
      <c r="AA15" s="129" t="str">
        <f t="shared" si="1"/>
        <v/>
      </c>
      <c r="AB15" s="130" t="str">
        <f t="shared" si="2"/>
        <v/>
      </c>
      <c r="AC15" s="129" t="str">
        <f t="shared" si="3"/>
        <v/>
      </c>
      <c r="AD15" s="130" t="str">
        <f t="shared" si="7"/>
        <v/>
      </c>
      <c r="AE15" s="131" t="str">
        <f t="shared" si="4"/>
        <v/>
      </c>
      <c r="AF15" s="132"/>
      <c r="AG15" s="133"/>
      <c r="AH15" s="134"/>
      <c r="AI15" s="135"/>
      <c r="AJ15" s="135"/>
      <c r="AK15" s="133"/>
      <c r="AL15" s="134"/>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8.25" customHeight="1" x14ac:dyDescent="0.3">
      <c r="A16" s="209"/>
      <c r="B16" s="200"/>
      <c r="C16" s="200"/>
      <c r="D16" s="139"/>
      <c r="E16" s="200"/>
      <c r="F16" s="212"/>
      <c r="G16" s="212"/>
      <c r="H16" s="200"/>
      <c r="I16" s="203"/>
      <c r="J16" s="206"/>
      <c r="K16" s="218"/>
      <c r="L16" s="221"/>
      <c r="M16" s="218">
        <f ca="1">IF(NOT(ISERROR(MATCH(L16,_xlfn.ANCHORARRAY(#REF!),0))),K17&amp;"Por favor no seleccionar los criterios de impacto",L16)</f>
        <v>0</v>
      </c>
      <c r="N16" s="206"/>
      <c r="O16" s="218"/>
      <c r="P16" s="215"/>
      <c r="Q16" s="123"/>
      <c r="R16" s="124"/>
      <c r="S16" s="125" t="str">
        <f t="shared" si="5"/>
        <v/>
      </c>
      <c r="T16" s="126"/>
      <c r="U16" s="126"/>
      <c r="V16" s="127" t="str">
        <f t="shared" si="0"/>
        <v/>
      </c>
      <c r="W16" s="126"/>
      <c r="X16" s="126"/>
      <c r="Y16" s="126"/>
      <c r="Z16" s="128" t="str">
        <f t="shared" si="6"/>
        <v/>
      </c>
      <c r="AA16" s="129" t="str">
        <f t="shared" si="1"/>
        <v/>
      </c>
      <c r="AB16" s="130" t="str">
        <f t="shared" si="2"/>
        <v/>
      </c>
      <c r="AC16" s="129" t="str">
        <f t="shared" si="3"/>
        <v/>
      </c>
      <c r="AD16" s="130" t="str">
        <f t="shared" si="7"/>
        <v/>
      </c>
      <c r="AE16" s="131" t="str">
        <f t="shared" si="4"/>
        <v/>
      </c>
      <c r="AF16" s="132"/>
      <c r="AG16" s="133"/>
      <c r="AH16" s="134"/>
      <c r="AI16" s="135"/>
      <c r="AJ16" s="135"/>
      <c r="AK16" s="133"/>
      <c r="AL16" s="13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19.25" customHeight="1" x14ac:dyDescent="0.3">
      <c r="A17" s="207">
        <v>2</v>
      </c>
      <c r="B17" s="198" t="s">
        <v>185</v>
      </c>
      <c r="C17" s="198" t="s">
        <v>116</v>
      </c>
      <c r="D17" s="137" t="s">
        <v>292</v>
      </c>
      <c r="E17" s="198" t="s">
        <v>293</v>
      </c>
      <c r="F17" s="210" t="s">
        <v>194</v>
      </c>
      <c r="G17" s="210" t="s">
        <v>294</v>
      </c>
      <c r="H17" s="198" t="s">
        <v>217</v>
      </c>
      <c r="I17" s="201">
        <v>12</v>
      </c>
      <c r="J17" s="204" t="str">
        <f>IF(I17&lt;=0,"",IF(I17&lt;=2,"Muy Baja",IF(I17&lt;=24,"Baja",IF(I17&lt;=500,"Media",IF(I17&lt;=5000,"Alta","Muy Alta")))))</f>
        <v>Baja</v>
      </c>
      <c r="K17" s="216">
        <f>IF(J17="","",IF(J17="Muy Baja",0.2,IF(J17="Baja",0.4,IF(J17="Media",0.6,IF(J17="Alta",0.8,IF(J17="Muy Alta",1,))))))</f>
        <v>0.4</v>
      </c>
      <c r="L17" s="219" t="s">
        <v>136</v>
      </c>
      <c r="M17" s="216" t="str">
        <f ca="1">IF(NOT(ISERROR(MATCH(L17,'Tabla Impacto'!$B$221:$B$223,0))),'Tabla Impacto'!$F$223&amp;"Por favor no seleccionar los criterios de impacto(Afectación Económica o presupuestal y Pérdida Reputacional)",L17)</f>
        <v xml:space="preserve">     El riesgo afecta la imagen de alguna área de la organización</v>
      </c>
      <c r="N17" s="204" t="str">
        <f ca="1">IF(OR(M17='Tabla Impacto'!$C$11,M17='Tabla Impacto'!$D$11),"Leve",IF(OR(M17='Tabla Impacto'!$C$12,M17='Tabla Impacto'!$D$12),"Menor",IF(OR(M17='Tabla Impacto'!$C$13,M17='Tabla Impacto'!$D$13),"Moderado",IF(OR(M17='Tabla Impacto'!$C$14,M17='Tabla Impacto'!$D$14),"Mayor",IF(OR(M17='Tabla Impacto'!$C$15,M17='Tabla Impacto'!$D$15),"Catastrófico","")))))</f>
        <v>Leve</v>
      </c>
      <c r="O17" s="216">
        <f ca="1">IF(N17="","",IF(N17="Leve",0.2,IF(N17="Menor",0.4,IF(N17="Moderado",0.6,IF(N17="Mayor",0.8,IF(N17="Catastrófico",1,))))))</f>
        <v>0.2</v>
      </c>
      <c r="P17" s="213" t="str">
        <f ca="1">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Bajo</v>
      </c>
      <c r="Q17" s="123">
        <v>1</v>
      </c>
      <c r="R17" s="124" t="s">
        <v>295</v>
      </c>
      <c r="S17" s="125" t="str">
        <f>IF(OR(T17="Preventivo",T17="Detectivo"),"Probabilidad",IF(T17="Correctivo","Impacto",""))</f>
        <v>Probabilidad</v>
      </c>
      <c r="T17" s="126" t="s">
        <v>13</v>
      </c>
      <c r="U17" s="126" t="s">
        <v>9</v>
      </c>
      <c r="V17" s="127" t="str">
        <f>IF(AND(T17="Preventivo",U17="Automático"),"50%",IF(AND(T17="Preventivo",U17="Manual"),"40%",IF(AND(T17="Detectivo",U17="Automático"),"40%",IF(AND(T17="Detectivo",U17="Manual"),"30%",IF(AND(T17="Correctivo",U17="Automático"),"35%",IF(AND(T17="Correctivo",U17="Manual"),"25%",""))))))</f>
        <v>50%</v>
      </c>
      <c r="W17" s="126" t="s">
        <v>18</v>
      </c>
      <c r="X17" s="126" t="s">
        <v>21</v>
      </c>
      <c r="Y17" s="126" t="s">
        <v>111</v>
      </c>
      <c r="Z17" s="128">
        <f>IFERROR(IF(S17="Probabilidad",(K17-(+K17*V17)),IF(S17="Impacto",K17,"")),"")</f>
        <v>0.2</v>
      </c>
      <c r="AA17" s="129" t="str">
        <f>IFERROR(IF(Z17="","",IF(Z17&lt;=0.2,"Muy Baja",IF(Z17&lt;=0.4,"Baja",IF(Z17&lt;=0.6,"Media",IF(Z17&lt;=0.8,"Alta","Muy Alta"))))),"")</f>
        <v>Muy Baja</v>
      </c>
      <c r="AB17" s="130">
        <f>+Z17</f>
        <v>0.2</v>
      </c>
      <c r="AC17" s="129" t="str">
        <f ca="1">IFERROR(IF(AD17="","",IF(AD17&lt;=0.2,"Leve",IF(AD17&lt;=0.4,"Menor",IF(AD17&lt;=0.6,"Moderado",IF(AD17&lt;=0.8,"Mayor","Catastrófico"))))),"")</f>
        <v>Leve</v>
      </c>
      <c r="AD17" s="130">
        <f ca="1">IFERROR(IF(S17="Impacto",(O17-(+O17*V17)),IF(S17="Probabilidad",O17,"")),"")</f>
        <v>0.2</v>
      </c>
      <c r="AE17" s="131" t="str">
        <f ca="1">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Bajo</v>
      </c>
      <c r="AF17" s="132" t="s">
        <v>30</v>
      </c>
      <c r="AG17" s="133"/>
      <c r="AH17" s="134"/>
      <c r="AI17" s="135"/>
      <c r="AJ17" s="135"/>
      <c r="AK17" s="133"/>
      <c r="AL17" s="13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9.5" customHeight="1" x14ac:dyDescent="0.3">
      <c r="A18" s="208"/>
      <c r="B18" s="199"/>
      <c r="C18" s="199"/>
      <c r="D18" s="138"/>
      <c r="E18" s="199"/>
      <c r="F18" s="211"/>
      <c r="G18" s="211"/>
      <c r="H18" s="199"/>
      <c r="I18" s="202"/>
      <c r="J18" s="205"/>
      <c r="K18" s="217"/>
      <c r="L18" s="220"/>
      <c r="M18" s="217">
        <f ca="1">IF(NOT(ISERROR(MATCH(L18,_xlfn.ANCHORARRAY(G29),0))),K31&amp;"Por favor no seleccionar los criterios de impacto",L18)</f>
        <v>0</v>
      </c>
      <c r="N18" s="205"/>
      <c r="O18" s="217"/>
      <c r="P18" s="214"/>
      <c r="Q18" s="123"/>
      <c r="R18" s="124"/>
      <c r="S18" s="125" t="str">
        <f>IF(OR(T18="Preventivo",T18="Detectivo"),"Probabilidad",IF(T18="Correctivo","Impacto",""))</f>
        <v/>
      </c>
      <c r="T18" s="126"/>
      <c r="U18" s="126"/>
      <c r="V18" s="127" t="str">
        <f t="shared" ref="V18:V22" si="8">IF(AND(T18="Preventivo",U18="Automático"),"50%",IF(AND(T18="Preventivo",U18="Manual"),"40%",IF(AND(T18="Detectivo",U18="Automático"),"40%",IF(AND(T18="Detectivo",U18="Manual"),"30%",IF(AND(T18="Correctivo",U18="Automático"),"35%",IF(AND(T18="Correctivo",U18="Manual"),"25%",""))))))</f>
        <v/>
      </c>
      <c r="W18" s="126"/>
      <c r="X18" s="126"/>
      <c r="Y18" s="126"/>
      <c r="Z18" s="128" t="str">
        <f>IFERROR(IF(AND(S17="Probabilidad",S18="Probabilidad"),(AB17-(+AB17*V18)),IF(S18="Probabilidad",(K17-(+K17*V18)),IF(S18="Impacto",AB17,""))),"")</f>
        <v/>
      </c>
      <c r="AA18" s="129" t="str">
        <f t="shared" si="1"/>
        <v/>
      </c>
      <c r="AB18" s="130" t="str">
        <f t="shared" ref="AB18:AB22" si="9">+Z18</f>
        <v/>
      </c>
      <c r="AC18" s="129" t="str">
        <f t="shared" si="3"/>
        <v/>
      </c>
      <c r="AD18" s="130" t="str">
        <f>IFERROR(IF(AND(S17="Impacto",S18="Impacto"),(AD17-(+AD17*V18)),IF(S18="Impacto",(O17-(+O17*V18)),IF(S18="Probabilidad",AD17,""))),"")</f>
        <v/>
      </c>
      <c r="AE18" s="131" t="str">
        <f t="shared" ref="AE18:AE19" si="10">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32"/>
      <c r="AG18" s="133"/>
      <c r="AH18" s="134"/>
      <c r="AI18" s="135"/>
      <c r="AJ18" s="135"/>
      <c r="AK18" s="133"/>
      <c r="AL18" s="13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9.5" customHeight="1" x14ac:dyDescent="0.3">
      <c r="A19" s="208"/>
      <c r="B19" s="199"/>
      <c r="C19" s="199"/>
      <c r="D19" s="138"/>
      <c r="E19" s="199"/>
      <c r="F19" s="211"/>
      <c r="G19" s="211"/>
      <c r="H19" s="199"/>
      <c r="I19" s="202"/>
      <c r="J19" s="205"/>
      <c r="K19" s="217"/>
      <c r="L19" s="220"/>
      <c r="M19" s="217">
        <f ca="1">IF(NOT(ISERROR(MATCH(L19,_xlfn.ANCHORARRAY(G30),0))),K32&amp;"Por favor no seleccionar los criterios de impacto",L19)</f>
        <v>0</v>
      </c>
      <c r="N19" s="205"/>
      <c r="O19" s="217"/>
      <c r="P19" s="214"/>
      <c r="Q19" s="123"/>
      <c r="R19" s="136"/>
      <c r="S19" s="125" t="str">
        <f>IF(OR(T19="Preventivo",T19="Detectivo"),"Probabilidad",IF(T19="Correctivo","Impacto",""))</f>
        <v/>
      </c>
      <c r="T19" s="126"/>
      <c r="U19" s="126"/>
      <c r="V19" s="127" t="str">
        <f t="shared" si="8"/>
        <v/>
      </c>
      <c r="W19" s="126"/>
      <c r="X19" s="126"/>
      <c r="Y19" s="126"/>
      <c r="Z19" s="128" t="str">
        <f>IFERROR(IF(AND(S18="Probabilidad",S19="Probabilidad"),(AB18-(+AB18*V19)),IF(AND(S18="Impacto",S19="Probabilidad"),(AB17-(+AB17*V19)),IF(S19="Impacto",AB18,""))),"")</f>
        <v/>
      </c>
      <c r="AA19" s="129" t="str">
        <f t="shared" si="1"/>
        <v/>
      </c>
      <c r="AB19" s="130" t="str">
        <f t="shared" si="9"/>
        <v/>
      </c>
      <c r="AC19" s="129" t="str">
        <f t="shared" si="3"/>
        <v/>
      </c>
      <c r="AD19" s="130" t="str">
        <f>IFERROR(IF(AND(S18="Impacto",S19="Impacto"),(AD18-(+AD18*V19)),IF(AND(S18="Probabilidad",S19="Impacto"),(AD17-(+AD17*V19)),IF(S19="Probabilidad",AD18,""))),"")</f>
        <v/>
      </c>
      <c r="AE19" s="131" t="str">
        <f t="shared" si="10"/>
        <v/>
      </c>
      <c r="AF19" s="132"/>
      <c r="AG19" s="133"/>
      <c r="AH19" s="134"/>
      <c r="AI19" s="135"/>
      <c r="AJ19" s="135"/>
      <c r="AK19" s="133"/>
      <c r="AL19" s="134"/>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9.5" customHeight="1" x14ac:dyDescent="0.3">
      <c r="A20" s="208"/>
      <c r="B20" s="199"/>
      <c r="C20" s="199"/>
      <c r="D20" s="138"/>
      <c r="E20" s="199"/>
      <c r="F20" s="211"/>
      <c r="G20" s="211"/>
      <c r="H20" s="199"/>
      <c r="I20" s="202"/>
      <c r="J20" s="205"/>
      <c r="K20" s="217"/>
      <c r="L20" s="220"/>
      <c r="M20" s="217">
        <f ca="1">IF(NOT(ISERROR(MATCH(L20,_xlfn.ANCHORARRAY(G31),0))),K33&amp;"Por favor no seleccionar los criterios de impacto",L20)</f>
        <v>0</v>
      </c>
      <c r="N20" s="205"/>
      <c r="O20" s="217"/>
      <c r="P20" s="214"/>
      <c r="Q20" s="123"/>
      <c r="R20" s="124"/>
      <c r="S20" s="125" t="str">
        <f t="shared" ref="S20:S22" si="11">IF(OR(T20="Preventivo",T20="Detectivo"),"Probabilidad",IF(T20="Correctivo","Impacto",""))</f>
        <v/>
      </c>
      <c r="T20" s="126"/>
      <c r="U20" s="126"/>
      <c r="V20" s="127" t="str">
        <f t="shared" si="8"/>
        <v/>
      </c>
      <c r="W20" s="126"/>
      <c r="X20" s="126"/>
      <c r="Y20" s="126"/>
      <c r="Z20" s="128" t="str">
        <f t="shared" ref="Z20:Z22" si="12">IFERROR(IF(AND(S19="Probabilidad",S20="Probabilidad"),(AB19-(+AB19*V20)),IF(AND(S19="Impacto",S20="Probabilidad"),(AB18-(+AB18*V20)),IF(S20="Impacto",AB19,""))),"")</f>
        <v/>
      </c>
      <c r="AA20" s="129" t="str">
        <f t="shared" si="1"/>
        <v/>
      </c>
      <c r="AB20" s="130" t="str">
        <f t="shared" si="9"/>
        <v/>
      </c>
      <c r="AC20" s="129" t="str">
        <f t="shared" si="3"/>
        <v/>
      </c>
      <c r="AD20" s="130" t="str">
        <f t="shared" ref="AD20:AD22" si="13">IFERROR(IF(AND(S19="Impacto",S20="Impacto"),(AD19-(+AD19*V20)),IF(AND(S19="Probabilidad",S20="Impacto"),(AD18-(+AD18*V20)),IF(S20="Probabilidad",AD19,""))),"")</f>
        <v/>
      </c>
      <c r="AE20" s="131" t="str">
        <f>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2"/>
      <c r="AG20" s="133"/>
      <c r="AH20" s="134"/>
      <c r="AI20" s="135"/>
      <c r="AJ20" s="135"/>
      <c r="AK20" s="133"/>
      <c r="AL20" s="134"/>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9.5" customHeight="1" x14ac:dyDescent="0.3">
      <c r="A21" s="208"/>
      <c r="B21" s="199"/>
      <c r="C21" s="199"/>
      <c r="D21" s="138"/>
      <c r="E21" s="199"/>
      <c r="F21" s="211"/>
      <c r="G21" s="211"/>
      <c r="H21" s="199"/>
      <c r="I21" s="202"/>
      <c r="J21" s="205"/>
      <c r="K21" s="217"/>
      <c r="L21" s="220"/>
      <c r="M21" s="217">
        <f ca="1">IF(NOT(ISERROR(MATCH(L21,_xlfn.ANCHORARRAY(G32),0))),K34&amp;"Por favor no seleccionar los criterios de impacto",L21)</f>
        <v>0</v>
      </c>
      <c r="N21" s="205"/>
      <c r="O21" s="217"/>
      <c r="P21" s="214"/>
      <c r="Q21" s="123"/>
      <c r="R21" s="124"/>
      <c r="S21" s="125" t="str">
        <f t="shared" si="11"/>
        <v/>
      </c>
      <c r="T21" s="126"/>
      <c r="U21" s="126"/>
      <c r="V21" s="127" t="str">
        <f t="shared" si="8"/>
        <v/>
      </c>
      <c r="W21" s="126"/>
      <c r="X21" s="126"/>
      <c r="Y21" s="126"/>
      <c r="Z21" s="155" t="str">
        <f t="shared" si="12"/>
        <v/>
      </c>
      <c r="AA21" s="129" t="str">
        <f>IFERROR(IF(Z21="","",IF(Z21&lt;=0.2,"Muy Baja",IF(Z21&lt;=0.4,"Baja",IF(Z21&lt;=0.6,"Media",IF(Z21&lt;=0.8,"Alta","Muy Alta"))))),"")</f>
        <v/>
      </c>
      <c r="AB21" s="130" t="str">
        <f t="shared" si="9"/>
        <v/>
      </c>
      <c r="AC21" s="129" t="str">
        <f t="shared" si="3"/>
        <v/>
      </c>
      <c r="AD21" s="130" t="str">
        <f t="shared" si="13"/>
        <v/>
      </c>
      <c r="AE21" s="131" t="str">
        <f t="shared" ref="AE21:AE22" si="14">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2"/>
      <c r="AG21" s="133"/>
      <c r="AH21" s="134"/>
      <c r="AI21" s="135"/>
      <c r="AJ21" s="135"/>
      <c r="AK21" s="133"/>
      <c r="AL21" s="134"/>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9.5" customHeight="1" x14ac:dyDescent="0.3">
      <c r="A22" s="209"/>
      <c r="B22" s="200"/>
      <c r="C22" s="200"/>
      <c r="D22" s="139"/>
      <c r="E22" s="200"/>
      <c r="F22" s="212"/>
      <c r="G22" s="212"/>
      <c r="H22" s="200"/>
      <c r="I22" s="203"/>
      <c r="J22" s="206"/>
      <c r="K22" s="218"/>
      <c r="L22" s="221"/>
      <c r="M22" s="218">
        <f ca="1">IF(NOT(ISERROR(MATCH(L22,_xlfn.ANCHORARRAY(G33),0))),K35&amp;"Por favor no seleccionar los criterios de impacto",L22)</f>
        <v>0</v>
      </c>
      <c r="N22" s="206"/>
      <c r="O22" s="218"/>
      <c r="P22" s="215"/>
      <c r="Q22" s="123"/>
      <c r="R22" s="124"/>
      <c r="S22" s="125" t="str">
        <f t="shared" si="11"/>
        <v/>
      </c>
      <c r="T22" s="126"/>
      <c r="U22" s="126"/>
      <c r="V22" s="127" t="str">
        <f t="shared" si="8"/>
        <v/>
      </c>
      <c r="W22" s="126"/>
      <c r="X22" s="126"/>
      <c r="Y22" s="126"/>
      <c r="Z22" s="128" t="str">
        <f t="shared" si="12"/>
        <v/>
      </c>
      <c r="AA22" s="129" t="str">
        <f t="shared" si="1"/>
        <v/>
      </c>
      <c r="AB22" s="130" t="str">
        <f t="shared" si="9"/>
        <v/>
      </c>
      <c r="AC22" s="129" t="str">
        <f t="shared" si="3"/>
        <v/>
      </c>
      <c r="AD22" s="130" t="str">
        <f t="shared" si="13"/>
        <v/>
      </c>
      <c r="AE22" s="131" t="str">
        <f t="shared" si="14"/>
        <v/>
      </c>
      <c r="AF22" s="132"/>
      <c r="AG22" s="133"/>
      <c r="AH22" s="134"/>
      <c r="AI22" s="135"/>
      <c r="AJ22" s="135"/>
      <c r="AK22" s="133"/>
      <c r="AL22" s="134"/>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21.5" customHeight="1" x14ac:dyDescent="0.3">
      <c r="A23" s="207">
        <v>3</v>
      </c>
      <c r="B23" s="198" t="s">
        <v>187</v>
      </c>
      <c r="C23" s="198" t="s">
        <v>116</v>
      </c>
      <c r="D23" s="137" t="s">
        <v>296</v>
      </c>
      <c r="E23" s="198" t="s">
        <v>297</v>
      </c>
      <c r="F23" s="210" t="s">
        <v>195</v>
      </c>
      <c r="G23" s="210" t="s">
        <v>298</v>
      </c>
      <c r="H23" s="198" t="s">
        <v>215</v>
      </c>
      <c r="I23" s="201">
        <v>36</v>
      </c>
      <c r="J23" s="204" t="str">
        <f>IF(I23&lt;=0,"",IF(I23&lt;=2,"Muy Baja",IF(I23&lt;=24,"Baja",IF(I23&lt;=500,"Media",IF(I23&lt;=5000,"Alta","Muy Alta")))))</f>
        <v>Media</v>
      </c>
      <c r="K23" s="216">
        <f>IF(J23="","",IF(J23="Muy Baja",0.2,IF(J23="Baja",0.4,IF(J23="Media",0.6,IF(J23="Alta",0.8,IF(J23="Muy Alta",1,))))))</f>
        <v>0.6</v>
      </c>
      <c r="L23" s="219" t="s">
        <v>137</v>
      </c>
      <c r="M23" s="216" t="str">
        <f ca="1">IF(NOT(ISERROR(MATCH(L23,'Tabla Impacto'!$B$221:$B$223,0))),'Tabla Impacto'!$F$223&amp;"Por favor no seleccionar los criterios de impacto(Afectación Económica o presupuestal y Pérdida Reputacional)",L23)</f>
        <v xml:space="preserve">     El riesgo afecta la imagen de la entidad internamente, de conocimiento general, nivel interno, de junta dircetiva y accionistas y/o de provedores</v>
      </c>
      <c r="N23" s="204" t="str">
        <f ca="1">IF(OR(M23='Tabla Impacto'!$C$11,M23='Tabla Impacto'!$D$11),"Leve",IF(OR(M23='Tabla Impacto'!$C$12,M23='Tabla Impacto'!$D$12),"Menor",IF(OR(M23='Tabla Impacto'!$C$13,M23='Tabla Impacto'!$D$13),"Moderado",IF(OR(M23='Tabla Impacto'!$C$14,M23='Tabla Impacto'!$D$14),"Mayor",IF(OR(M23='Tabla Impacto'!$C$15,M23='Tabla Impacto'!$D$15),"Catastrófico","")))))</f>
        <v>Menor</v>
      </c>
      <c r="O23" s="216">
        <f ca="1">IF(N23="","",IF(N23="Leve",0.2,IF(N23="Menor",0.4,IF(N23="Moderado",0.6,IF(N23="Mayor",0.8,IF(N23="Catastrófico",1,))))))</f>
        <v>0.4</v>
      </c>
      <c r="P23" s="213" t="str">
        <f ca="1">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Moderado</v>
      </c>
      <c r="Q23" s="123">
        <v>1</v>
      </c>
      <c r="R23" s="124" t="s">
        <v>299</v>
      </c>
      <c r="S23" s="125" t="str">
        <f>IF(OR(T23="Preventivo",T23="Detectivo"),"Probabilidad",IF(T23="Correctivo","Impacto",""))</f>
        <v>Probabilidad</v>
      </c>
      <c r="T23" s="126" t="s">
        <v>14</v>
      </c>
      <c r="U23" s="126" t="s">
        <v>9</v>
      </c>
      <c r="V23" s="127" t="str">
        <f>IF(AND(T23="Preventivo",U23="Automático"),"50%",IF(AND(T23="Preventivo",U23="Manual"),"40%",IF(AND(T23="Detectivo",U23="Automático"),"40%",IF(AND(T23="Detectivo",U23="Manual"),"30%",IF(AND(T23="Correctivo",U23="Automático"),"35%",IF(AND(T23="Correctivo",U23="Manual"),"25%",""))))))</f>
        <v>40%</v>
      </c>
      <c r="W23" s="126" t="s">
        <v>18</v>
      </c>
      <c r="X23" s="126" t="s">
        <v>21</v>
      </c>
      <c r="Y23" s="126" t="s">
        <v>111</v>
      </c>
      <c r="Z23" s="128">
        <f>IFERROR(IF(S23="Probabilidad",(K23-(+K23*V23)),IF(S23="Impacto",K23,"")),"")</f>
        <v>0.36</v>
      </c>
      <c r="AA23" s="129" t="str">
        <f>IFERROR(IF(Z23="","",IF(Z23&lt;=0.2,"Muy Baja",IF(Z23&lt;=0.4,"Baja",IF(Z23&lt;=0.6,"Media",IF(Z23&lt;=0.8,"Alta","Muy Alta"))))),"")</f>
        <v>Baja</v>
      </c>
      <c r="AB23" s="130">
        <f>+Z23</f>
        <v>0.36</v>
      </c>
      <c r="AC23" s="129" t="str">
        <f ca="1">IFERROR(IF(AD23="","",IF(AD23&lt;=0.2,"Leve",IF(AD23&lt;=0.4,"Menor",IF(AD23&lt;=0.6,"Moderado",IF(AD23&lt;=0.8,"Mayor","Catastrófico"))))),"")</f>
        <v>Menor</v>
      </c>
      <c r="AD23" s="130">
        <f ca="1">IFERROR(IF(S23="Impacto",(O23-(+O23*V23)),IF(S23="Probabilidad",O23,"")),"")</f>
        <v>0.4</v>
      </c>
      <c r="AE23" s="131" t="str">
        <f ca="1">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Moderado</v>
      </c>
      <c r="AF23" s="132" t="s">
        <v>30</v>
      </c>
      <c r="AG23" s="133"/>
      <c r="AH23" s="134"/>
      <c r="AI23" s="135"/>
      <c r="AJ23" s="135"/>
      <c r="AK23" s="133"/>
      <c r="AL23" s="134"/>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4.25" customHeight="1" x14ac:dyDescent="0.3">
      <c r="A24" s="208"/>
      <c r="B24" s="199"/>
      <c r="C24" s="199"/>
      <c r="D24" s="138"/>
      <c r="E24" s="199"/>
      <c r="F24" s="211"/>
      <c r="G24" s="211"/>
      <c r="H24" s="199"/>
      <c r="I24" s="202"/>
      <c r="J24" s="205"/>
      <c r="K24" s="217"/>
      <c r="L24" s="220"/>
      <c r="M24" s="217">
        <f ca="1">IF(NOT(ISERROR(MATCH(L24,_xlfn.ANCHORARRAY(G35),0))),K37&amp;"Por favor no seleccionar los criterios de impacto",L24)</f>
        <v>0</v>
      </c>
      <c r="N24" s="205"/>
      <c r="O24" s="217"/>
      <c r="P24" s="214"/>
      <c r="Q24" s="123"/>
      <c r="R24" s="124"/>
      <c r="S24" s="125" t="str">
        <f>IF(OR(T24="Preventivo",T24="Detectivo"),"Probabilidad",IF(T24="Correctivo","Impacto",""))</f>
        <v/>
      </c>
      <c r="T24" s="126"/>
      <c r="U24" s="126"/>
      <c r="V24" s="127" t="str">
        <f t="shared" ref="V24:V28" si="15">IF(AND(T24="Preventivo",U24="Automático"),"50%",IF(AND(T24="Preventivo",U24="Manual"),"40%",IF(AND(T24="Detectivo",U24="Automático"),"40%",IF(AND(T24="Detectivo",U24="Manual"),"30%",IF(AND(T24="Correctivo",U24="Automático"),"35%",IF(AND(T24="Correctivo",U24="Manual"),"25%",""))))))</f>
        <v/>
      </c>
      <c r="W24" s="126"/>
      <c r="X24" s="126"/>
      <c r="Y24" s="126"/>
      <c r="Z24" s="128" t="str">
        <f>IFERROR(IF(AND(S23="Probabilidad",S24="Probabilidad"),(AB23-(+AB23*V24)),IF(S24="Probabilidad",(K23-(+K23*V24)),IF(S24="Impacto",AB23,""))),"")</f>
        <v/>
      </c>
      <c r="AA24" s="129" t="str">
        <f t="shared" si="1"/>
        <v/>
      </c>
      <c r="AB24" s="130" t="str">
        <f t="shared" ref="AB24:AB28" si="16">+Z24</f>
        <v/>
      </c>
      <c r="AC24" s="129" t="str">
        <f t="shared" si="3"/>
        <v/>
      </c>
      <c r="AD24" s="130" t="str">
        <f>IFERROR(IF(AND(S23="Impacto",S24="Impacto"),(AD23-(+AD23*V24)),IF(S24="Impacto",(O23-(+O23*V24)),IF(S24="Probabilidad",AD23,""))),"")</f>
        <v/>
      </c>
      <c r="AE24" s="131" t="str">
        <f t="shared" ref="AE24:AE25" si="17">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32"/>
      <c r="AG24" s="133"/>
      <c r="AH24" s="134"/>
      <c r="AI24" s="135"/>
      <c r="AJ24" s="135"/>
      <c r="AK24" s="133"/>
      <c r="AL24" s="134"/>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4.25" customHeight="1" x14ac:dyDescent="0.3">
      <c r="A25" s="208"/>
      <c r="B25" s="199"/>
      <c r="C25" s="199"/>
      <c r="D25" s="138"/>
      <c r="E25" s="199"/>
      <c r="F25" s="211"/>
      <c r="G25" s="211"/>
      <c r="H25" s="199"/>
      <c r="I25" s="202"/>
      <c r="J25" s="205"/>
      <c r="K25" s="217"/>
      <c r="L25" s="220"/>
      <c r="M25" s="217">
        <f ca="1">IF(NOT(ISERROR(MATCH(L25,_xlfn.ANCHORARRAY(G36),0))),K38&amp;"Por favor no seleccionar los criterios de impacto",L25)</f>
        <v>0</v>
      </c>
      <c r="N25" s="205"/>
      <c r="O25" s="217"/>
      <c r="P25" s="214"/>
      <c r="Q25" s="123"/>
      <c r="R25" s="136"/>
      <c r="S25" s="125" t="str">
        <f>IF(OR(T25="Preventivo",T25="Detectivo"),"Probabilidad",IF(T25="Correctivo","Impacto",""))</f>
        <v/>
      </c>
      <c r="T25" s="126"/>
      <c r="U25" s="126"/>
      <c r="V25" s="127" t="str">
        <f t="shared" si="15"/>
        <v/>
      </c>
      <c r="W25" s="126"/>
      <c r="X25" s="126"/>
      <c r="Y25" s="126"/>
      <c r="Z25" s="128" t="str">
        <f>IFERROR(IF(AND(S24="Probabilidad",S25="Probabilidad"),(AB24-(+AB24*V25)),IF(AND(S24="Impacto",S25="Probabilidad"),(AB23-(+AB23*V25)),IF(S25="Impacto",AB24,""))),"")</f>
        <v/>
      </c>
      <c r="AA25" s="129" t="str">
        <f t="shared" si="1"/>
        <v/>
      </c>
      <c r="AB25" s="130" t="str">
        <f t="shared" si="16"/>
        <v/>
      </c>
      <c r="AC25" s="129" t="str">
        <f t="shared" si="3"/>
        <v/>
      </c>
      <c r="AD25" s="130" t="str">
        <f>IFERROR(IF(AND(S24="Impacto",S25="Impacto"),(AD24-(+AD24*V25)),IF(AND(S24="Probabilidad",S25="Impacto"),(AD23-(+AD23*V25)),IF(S25="Probabilidad",AD24,""))),"")</f>
        <v/>
      </c>
      <c r="AE25" s="131" t="str">
        <f t="shared" si="17"/>
        <v/>
      </c>
      <c r="AF25" s="132"/>
      <c r="AG25" s="133"/>
      <c r="AH25" s="134"/>
      <c r="AI25" s="135"/>
      <c r="AJ25" s="135"/>
      <c r="AK25" s="133"/>
      <c r="AL25" s="134"/>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4.25" customHeight="1" x14ac:dyDescent="0.3">
      <c r="A26" s="208"/>
      <c r="B26" s="199"/>
      <c r="C26" s="199"/>
      <c r="D26" s="138"/>
      <c r="E26" s="199"/>
      <c r="F26" s="211"/>
      <c r="G26" s="211"/>
      <c r="H26" s="199"/>
      <c r="I26" s="202"/>
      <c r="J26" s="205"/>
      <c r="K26" s="217"/>
      <c r="L26" s="220"/>
      <c r="M26" s="217">
        <f ca="1">IF(NOT(ISERROR(MATCH(L26,_xlfn.ANCHORARRAY(G37),0))),K39&amp;"Por favor no seleccionar los criterios de impacto",L26)</f>
        <v>0</v>
      </c>
      <c r="N26" s="205"/>
      <c r="O26" s="217"/>
      <c r="P26" s="214"/>
      <c r="Q26" s="123"/>
      <c r="R26" s="124"/>
      <c r="S26" s="125" t="str">
        <f t="shared" ref="S26:S28" si="18">IF(OR(T26="Preventivo",T26="Detectivo"),"Probabilidad",IF(T26="Correctivo","Impacto",""))</f>
        <v/>
      </c>
      <c r="T26" s="126"/>
      <c r="U26" s="126"/>
      <c r="V26" s="127" t="str">
        <f t="shared" si="15"/>
        <v/>
      </c>
      <c r="W26" s="126"/>
      <c r="X26" s="126"/>
      <c r="Y26" s="126"/>
      <c r="Z26" s="128" t="str">
        <f t="shared" ref="Z26:Z28" si="19">IFERROR(IF(AND(S25="Probabilidad",S26="Probabilidad"),(AB25-(+AB25*V26)),IF(AND(S25="Impacto",S26="Probabilidad"),(AB24-(+AB24*V26)),IF(S26="Impacto",AB25,""))),"")</f>
        <v/>
      </c>
      <c r="AA26" s="129" t="str">
        <f t="shared" si="1"/>
        <v/>
      </c>
      <c r="AB26" s="130" t="str">
        <f t="shared" si="16"/>
        <v/>
      </c>
      <c r="AC26" s="129" t="str">
        <f t="shared" si="3"/>
        <v/>
      </c>
      <c r="AD26" s="130" t="str">
        <f t="shared" ref="AD26:AD28" si="20">IFERROR(IF(AND(S25="Impacto",S26="Impacto"),(AD25-(+AD25*V26)),IF(AND(S25="Probabilidad",S26="Impacto"),(AD24-(+AD24*V26)),IF(S26="Probabilidad",AD25,""))),"")</f>
        <v/>
      </c>
      <c r="AE26" s="131" t="str">
        <f>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2"/>
      <c r="AG26" s="133"/>
      <c r="AH26" s="134"/>
      <c r="AI26" s="135"/>
      <c r="AJ26" s="135"/>
      <c r="AK26" s="133"/>
      <c r="AL26" s="134"/>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4.25" customHeight="1" x14ac:dyDescent="0.3">
      <c r="A27" s="208"/>
      <c r="B27" s="199"/>
      <c r="C27" s="199"/>
      <c r="D27" s="138"/>
      <c r="E27" s="199"/>
      <c r="F27" s="211"/>
      <c r="G27" s="211"/>
      <c r="H27" s="199"/>
      <c r="I27" s="202"/>
      <c r="J27" s="205"/>
      <c r="K27" s="217"/>
      <c r="L27" s="220"/>
      <c r="M27" s="217">
        <f ca="1">IF(NOT(ISERROR(MATCH(L27,_xlfn.ANCHORARRAY(G38),0))),K40&amp;"Por favor no seleccionar los criterios de impacto",L27)</f>
        <v>0</v>
      </c>
      <c r="N27" s="205"/>
      <c r="O27" s="217"/>
      <c r="P27" s="214"/>
      <c r="Q27" s="123"/>
      <c r="R27" s="124"/>
      <c r="S27" s="125" t="str">
        <f t="shared" si="18"/>
        <v/>
      </c>
      <c r="T27" s="126"/>
      <c r="U27" s="126"/>
      <c r="V27" s="127" t="str">
        <f t="shared" si="15"/>
        <v/>
      </c>
      <c r="W27" s="126"/>
      <c r="X27" s="126"/>
      <c r="Y27" s="126"/>
      <c r="Z27" s="128" t="str">
        <f t="shared" si="19"/>
        <v/>
      </c>
      <c r="AA27" s="129" t="str">
        <f t="shared" si="1"/>
        <v/>
      </c>
      <c r="AB27" s="130" t="str">
        <f t="shared" si="16"/>
        <v/>
      </c>
      <c r="AC27" s="129" t="str">
        <f t="shared" si="3"/>
        <v/>
      </c>
      <c r="AD27" s="130" t="str">
        <f t="shared" si="20"/>
        <v/>
      </c>
      <c r="AE27" s="131" t="str">
        <f t="shared" ref="AE27:AE28" si="21">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32"/>
      <c r="AG27" s="133"/>
      <c r="AH27" s="134"/>
      <c r="AI27" s="135"/>
      <c r="AJ27" s="135"/>
      <c r="AK27" s="133"/>
      <c r="AL27" s="134"/>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4.25" customHeight="1" x14ac:dyDescent="0.3">
      <c r="A28" s="209"/>
      <c r="B28" s="200"/>
      <c r="C28" s="200"/>
      <c r="D28" s="139"/>
      <c r="E28" s="200"/>
      <c r="F28" s="212"/>
      <c r="G28" s="212"/>
      <c r="H28" s="200"/>
      <c r="I28" s="203"/>
      <c r="J28" s="206"/>
      <c r="K28" s="218"/>
      <c r="L28" s="221"/>
      <c r="M28" s="218">
        <f ca="1">IF(NOT(ISERROR(MATCH(L28,_xlfn.ANCHORARRAY(G39),0))),K41&amp;"Por favor no seleccionar los criterios de impacto",L28)</f>
        <v>0</v>
      </c>
      <c r="N28" s="206"/>
      <c r="O28" s="218"/>
      <c r="P28" s="215"/>
      <c r="Q28" s="123"/>
      <c r="R28" s="124"/>
      <c r="S28" s="125" t="str">
        <f t="shared" si="18"/>
        <v/>
      </c>
      <c r="T28" s="126"/>
      <c r="U28" s="126"/>
      <c r="V28" s="127" t="str">
        <f t="shared" si="15"/>
        <v/>
      </c>
      <c r="W28" s="126"/>
      <c r="X28" s="126"/>
      <c r="Y28" s="126"/>
      <c r="Z28" s="128" t="str">
        <f t="shared" si="19"/>
        <v/>
      </c>
      <c r="AA28" s="129" t="str">
        <f t="shared" si="1"/>
        <v/>
      </c>
      <c r="AB28" s="130" t="str">
        <f t="shared" si="16"/>
        <v/>
      </c>
      <c r="AC28" s="129" t="str">
        <f t="shared" si="3"/>
        <v/>
      </c>
      <c r="AD28" s="130" t="str">
        <f t="shared" si="20"/>
        <v/>
      </c>
      <c r="AE28" s="131" t="str">
        <f t="shared" si="21"/>
        <v/>
      </c>
      <c r="AF28" s="132"/>
      <c r="AG28" s="133"/>
      <c r="AH28" s="134"/>
      <c r="AI28" s="135"/>
      <c r="AJ28" s="135"/>
      <c r="AK28" s="133"/>
      <c r="AL28" s="134"/>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78" customHeight="1" x14ac:dyDescent="0.3">
      <c r="A29" s="207">
        <v>4</v>
      </c>
      <c r="B29" s="198" t="s">
        <v>189</v>
      </c>
      <c r="C29" s="198" t="s">
        <v>116</v>
      </c>
      <c r="D29" s="137" t="s">
        <v>300</v>
      </c>
      <c r="E29" s="198" t="s">
        <v>301</v>
      </c>
      <c r="F29" s="210" t="s">
        <v>198</v>
      </c>
      <c r="G29" s="210" t="s">
        <v>302</v>
      </c>
      <c r="H29" s="198" t="s">
        <v>217</v>
      </c>
      <c r="I29" s="201">
        <v>12</v>
      </c>
      <c r="J29" s="204" t="str">
        <f>IF(I29&lt;=0,"",IF(I29&lt;=2,"Muy Baja",IF(I29&lt;=24,"Baja",IF(I29&lt;=500,"Media",IF(I29&lt;=5000,"Alta","Muy Alta")))))</f>
        <v>Baja</v>
      </c>
      <c r="K29" s="216">
        <f>IF(J29="","",IF(J29="Muy Baja",0.2,IF(J29="Baja",0.4,IF(J29="Media",0.6,IF(J29="Alta",0.8,IF(J29="Muy Alta",1,))))))</f>
        <v>0.4</v>
      </c>
      <c r="L29" s="219" t="s">
        <v>138</v>
      </c>
      <c r="M29" s="216" t="str">
        <f ca="1">IF(NOT(ISERROR(MATCH(L29,'Tabla Impacto'!$B$221:$B$223,0))),'Tabla Impacto'!$F$223&amp;"Por favor no seleccionar los criterios de impacto(Afectación Económica o presupuestal y Pérdida Reputacional)",L29)</f>
        <v xml:space="preserve">     El riesgo afecta la imagen de la entidad con algunos usuarios de relevancia frente al logro de los objetivos</v>
      </c>
      <c r="N29" s="204" t="str">
        <f ca="1">IF(OR(M29='Tabla Impacto'!$C$11,M29='Tabla Impacto'!$D$11),"Leve",IF(OR(M29='Tabla Impacto'!$C$12,M29='Tabla Impacto'!$D$12),"Menor",IF(OR(M29='Tabla Impacto'!$C$13,M29='Tabla Impacto'!$D$13),"Moderado",IF(OR(M29='Tabla Impacto'!$C$14,M29='Tabla Impacto'!$D$14),"Mayor",IF(OR(M29='Tabla Impacto'!$C$15,M29='Tabla Impacto'!$D$15),"Catastrófico","")))))</f>
        <v>Moderado</v>
      </c>
      <c r="O29" s="216">
        <f ca="1">IF(N29="","",IF(N29="Leve",0.2,IF(N29="Menor",0.4,IF(N29="Moderado",0.6,IF(N29="Mayor",0.8,IF(N29="Catastrófico",1,))))))</f>
        <v>0.6</v>
      </c>
      <c r="P29" s="213" t="str">
        <f ca="1">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Moderado</v>
      </c>
      <c r="Q29" s="123">
        <v>1</v>
      </c>
      <c r="R29" s="124" t="s">
        <v>303</v>
      </c>
      <c r="S29" s="125" t="str">
        <f>IF(OR(T29="Preventivo",T29="Detectivo"),"Probabilidad",IF(T29="Correctivo","Impacto",""))</f>
        <v>Probabilidad</v>
      </c>
      <c r="T29" s="126" t="s">
        <v>14</v>
      </c>
      <c r="U29" s="126" t="s">
        <v>9</v>
      </c>
      <c r="V29" s="127" t="str">
        <f>IF(AND(T29="Preventivo",U29="Automático"),"50%",IF(AND(T29="Preventivo",U29="Manual"),"40%",IF(AND(T29="Detectivo",U29="Automático"),"40%",IF(AND(T29="Detectivo",U29="Manual"),"30%",IF(AND(T29="Correctivo",U29="Automático"),"35%",IF(AND(T29="Correctivo",U29="Manual"),"25%",""))))))</f>
        <v>40%</v>
      </c>
      <c r="W29" s="126" t="s">
        <v>19</v>
      </c>
      <c r="X29" s="126" t="s">
        <v>22</v>
      </c>
      <c r="Y29" s="126" t="s">
        <v>111</v>
      </c>
      <c r="Z29" s="128">
        <f>IFERROR(IF(S29="Probabilidad",(K29-(+K29*V29)),IF(S29="Impacto",K29,"")),"")</f>
        <v>0.24</v>
      </c>
      <c r="AA29" s="129" t="str">
        <f>IFERROR(IF(Z29="","",IF(Z29&lt;=0.2,"Muy Baja",IF(Z29&lt;=0.4,"Baja",IF(Z29&lt;=0.6,"Media",IF(Z29&lt;=0.8,"Alta","Muy Alta"))))),"")</f>
        <v>Baja</v>
      </c>
      <c r="AB29" s="130">
        <f>+Z29</f>
        <v>0.24</v>
      </c>
      <c r="AC29" s="129" t="str">
        <f ca="1">IFERROR(IF(AD29="","",IF(AD29&lt;=0.2,"Leve",IF(AD29&lt;=0.4,"Menor",IF(AD29&lt;=0.6,"Moderado",IF(AD29&lt;=0.8,"Mayor","Catastrófico"))))),"")</f>
        <v>Moderado</v>
      </c>
      <c r="AD29" s="130">
        <f ca="1">IFERROR(IF(S29="Impacto",(O29-(+O29*V29)),IF(S29="Probabilidad",O29,"")),"")</f>
        <v>0.6</v>
      </c>
      <c r="AE29" s="131" t="str">
        <f ca="1">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Moderado</v>
      </c>
      <c r="AF29" s="132" t="s">
        <v>30</v>
      </c>
      <c r="AG29" s="133"/>
      <c r="AH29" s="134"/>
      <c r="AI29" s="135"/>
      <c r="AJ29" s="135"/>
      <c r="AK29" s="133"/>
      <c r="AL29" s="134"/>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6.5" customHeight="1" x14ac:dyDescent="0.3">
      <c r="A30" s="208"/>
      <c r="B30" s="199"/>
      <c r="C30" s="199"/>
      <c r="D30" s="138"/>
      <c r="E30" s="199"/>
      <c r="F30" s="211"/>
      <c r="G30" s="211"/>
      <c r="H30" s="199"/>
      <c r="I30" s="202"/>
      <c r="J30" s="205"/>
      <c r="K30" s="217"/>
      <c r="L30" s="220"/>
      <c r="M30" s="217">
        <f ca="1">IF(NOT(ISERROR(MATCH(L30,_xlfn.ANCHORARRAY(G41),0))),K43&amp;"Por favor no seleccionar los criterios de impacto",L30)</f>
        <v>0</v>
      </c>
      <c r="N30" s="205"/>
      <c r="O30" s="217"/>
      <c r="P30" s="214"/>
      <c r="Q30" s="123"/>
      <c r="R30" s="124"/>
      <c r="S30" s="125" t="str">
        <f>IF(OR(T30="Preventivo",T30="Detectivo"),"Probabilidad",IF(T30="Correctivo","Impacto",""))</f>
        <v/>
      </c>
      <c r="T30" s="126"/>
      <c r="U30" s="126"/>
      <c r="V30" s="127" t="str">
        <f t="shared" ref="V30:V34" si="22">IF(AND(T30="Preventivo",U30="Automático"),"50%",IF(AND(T30="Preventivo",U30="Manual"),"40%",IF(AND(T30="Detectivo",U30="Automático"),"40%",IF(AND(T30="Detectivo",U30="Manual"),"30%",IF(AND(T30="Correctivo",U30="Automático"),"35%",IF(AND(T30="Correctivo",U30="Manual"),"25%",""))))))</f>
        <v/>
      </c>
      <c r="W30" s="126"/>
      <c r="X30" s="126"/>
      <c r="Y30" s="126"/>
      <c r="Z30" s="128" t="str">
        <f>IFERROR(IF(AND(S29="Probabilidad",S30="Probabilidad"),(AB29-(+AB29*V30)),IF(S30="Probabilidad",(K29-(+K29*V30)),IF(S30="Impacto",AB29,""))),"")</f>
        <v/>
      </c>
      <c r="AA30" s="129" t="str">
        <f t="shared" si="1"/>
        <v/>
      </c>
      <c r="AB30" s="130" t="str">
        <f t="shared" ref="AB30:AB34" si="23">+Z30</f>
        <v/>
      </c>
      <c r="AC30" s="129" t="str">
        <f t="shared" si="3"/>
        <v/>
      </c>
      <c r="AD30" s="130" t="str">
        <f>IFERROR(IF(AND(S29="Impacto",S30="Impacto"),(AD29-(+AD29*V30)),IF(S30="Impacto",(O29-(+O29*V30)),IF(S30="Probabilidad",AD29,""))),"")</f>
        <v/>
      </c>
      <c r="AE30" s="131" t="str">
        <f t="shared" ref="AE30:AE31" si="24">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2"/>
      <c r="AG30" s="133"/>
      <c r="AH30" s="134"/>
      <c r="AI30" s="135"/>
      <c r="AJ30" s="135"/>
      <c r="AK30" s="133"/>
      <c r="AL30" s="134"/>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6.5" customHeight="1" x14ac:dyDescent="0.3">
      <c r="A31" s="208"/>
      <c r="B31" s="199"/>
      <c r="C31" s="199"/>
      <c r="D31" s="138"/>
      <c r="E31" s="199"/>
      <c r="F31" s="211"/>
      <c r="G31" s="211"/>
      <c r="H31" s="199"/>
      <c r="I31" s="202"/>
      <c r="J31" s="205"/>
      <c r="K31" s="217"/>
      <c r="L31" s="220"/>
      <c r="M31" s="217">
        <f ca="1">IF(NOT(ISERROR(MATCH(L31,_xlfn.ANCHORARRAY(G42),0))),K44&amp;"Por favor no seleccionar los criterios de impacto",L31)</f>
        <v>0</v>
      </c>
      <c r="N31" s="205"/>
      <c r="O31" s="217"/>
      <c r="P31" s="214"/>
      <c r="Q31" s="123"/>
      <c r="R31" s="136"/>
      <c r="S31" s="125" t="str">
        <f>IF(OR(T31="Preventivo",T31="Detectivo"),"Probabilidad",IF(T31="Correctivo","Impacto",""))</f>
        <v/>
      </c>
      <c r="T31" s="126"/>
      <c r="U31" s="126"/>
      <c r="V31" s="127" t="str">
        <f t="shared" si="22"/>
        <v/>
      </c>
      <c r="W31" s="126"/>
      <c r="X31" s="126"/>
      <c r="Y31" s="126"/>
      <c r="Z31" s="128" t="str">
        <f>IFERROR(IF(AND(S30="Probabilidad",S31="Probabilidad"),(AB30-(+AB30*V31)),IF(AND(S30="Impacto",S31="Probabilidad"),(AB29-(+AB29*V31)),IF(S31="Impacto",AB30,""))),"")</f>
        <v/>
      </c>
      <c r="AA31" s="129" t="str">
        <f t="shared" si="1"/>
        <v/>
      </c>
      <c r="AB31" s="130" t="str">
        <f t="shared" si="23"/>
        <v/>
      </c>
      <c r="AC31" s="129" t="str">
        <f t="shared" si="3"/>
        <v/>
      </c>
      <c r="AD31" s="130" t="str">
        <f>IFERROR(IF(AND(S30="Impacto",S31="Impacto"),(AD30-(+AD30*V31)),IF(AND(S30="Probabilidad",S31="Impacto"),(AD29-(+AD29*V31)),IF(S31="Probabilidad",AD30,""))),"")</f>
        <v/>
      </c>
      <c r="AE31" s="131" t="str">
        <f t="shared" si="24"/>
        <v/>
      </c>
      <c r="AF31" s="132"/>
      <c r="AG31" s="133"/>
      <c r="AH31" s="134"/>
      <c r="AI31" s="135"/>
      <c r="AJ31" s="135"/>
      <c r="AK31" s="133"/>
      <c r="AL31" s="134"/>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6.5" customHeight="1" x14ac:dyDescent="0.3">
      <c r="A32" s="208"/>
      <c r="B32" s="199"/>
      <c r="C32" s="199"/>
      <c r="D32" s="138"/>
      <c r="E32" s="199"/>
      <c r="F32" s="211"/>
      <c r="G32" s="211"/>
      <c r="H32" s="199"/>
      <c r="I32" s="202"/>
      <c r="J32" s="205"/>
      <c r="K32" s="217"/>
      <c r="L32" s="220"/>
      <c r="M32" s="217">
        <f ca="1">IF(NOT(ISERROR(MATCH(L32,_xlfn.ANCHORARRAY(G43),0))),K45&amp;"Por favor no seleccionar los criterios de impacto",L32)</f>
        <v>0</v>
      </c>
      <c r="N32" s="205"/>
      <c r="O32" s="217"/>
      <c r="P32" s="214"/>
      <c r="Q32" s="123"/>
      <c r="R32" s="124"/>
      <c r="S32" s="125" t="str">
        <f t="shared" ref="S32:S34" si="25">IF(OR(T32="Preventivo",T32="Detectivo"),"Probabilidad",IF(T32="Correctivo","Impacto",""))</f>
        <v/>
      </c>
      <c r="T32" s="126"/>
      <c r="U32" s="126"/>
      <c r="V32" s="127" t="str">
        <f t="shared" si="22"/>
        <v/>
      </c>
      <c r="W32" s="126"/>
      <c r="X32" s="126"/>
      <c r="Y32" s="126"/>
      <c r="Z32" s="128" t="str">
        <f t="shared" ref="Z32:Z34" si="26">IFERROR(IF(AND(S31="Probabilidad",S32="Probabilidad"),(AB31-(+AB31*V32)),IF(AND(S31="Impacto",S32="Probabilidad"),(AB30-(+AB30*V32)),IF(S32="Impacto",AB31,""))),"")</f>
        <v/>
      </c>
      <c r="AA32" s="129" t="str">
        <f t="shared" si="1"/>
        <v/>
      </c>
      <c r="AB32" s="130" t="str">
        <f t="shared" si="23"/>
        <v/>
      </c>
      <c r="AC32" s="129" t="str">
        <f t="shared" si="3"/>
        <v/>
      </c>
      <c r="AD32" s="130" t="str">
        <f t="shared" ref="AD32:AD34" si="27">IFERROR(IF(AND(S31="Impacto",S32="Impacto"),(AD31-(+AD31*V32)),IF(AND(S31="Probabilidad",S32="Impacto"),(AD30-(+AD30*V32)),IF(S32="Probabilidad",AD31,""))),"")</f>
        <v/>
      </c>
      <c r="AE32" s="131"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2"/>
      <c r="AG32" s="133"/>
      <c r="AH32" s="134"/>
      <c r="AI32" s="135"/>
      <c r="AJ32" s="135"/>
      <c r="AK32" s="133"/>
      <c r="AL32" s="134"/>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6.5" customHeight="1" x14ac:dyDescent="0.3">
      <c r="A33" s="208"/>
      <c r="B33" s="199"/>
      <c r="C33" s="199"/>
      <c r="D33" s="138"/>
      <c r="E33" s="199"/>
      <c r="F33" s="211"/>
      <c r="G33" s="211"/>
      <c r="H33" s="199"/>
      <c r="I33" s="202"/>
      <c r="J33" s="205"/>
      <c r="K33" s="217"/>
      <c r="L33" s="220"/>
      <c r="M33" s="217">
        <f ca="1">IF(NOT(ISERROR(MATCH(L33,_xlfn.ANCHORARRAY(G44),0))),K46&amp;"Por favor no seleccionar los criterios de impacto",L33)</f>
        <v>0</v>
      </c>
      <c r="N33" s="205"/>
      <c r="O33" s="217"/>
      <c r="P33" s="214"/>
      <c r="Q33" s="123"/>
      <c r="R33" s="124"/>
      <c r="S33" s="125" t="str">
        <f t="shared" si="25"/>
        <v/>
      </c>
      <c r="T33" s="126"/>
      <c r="U33" s="126"/>
      <c r="V33" s="127" t="str">
        <f t="shared" si="22"/>
        <v/>
      </c>
      <c r="W33" s="126"/>
      <c r="X33" s="126"/>
      <c r="Y33" s="126"/>
      <c r="Z33" s="128" t="str">
        <f t="shared" si="26"/>
        <v/>
      </c>
      <c r="AA33" s="129" t="str">
        <f t="shared" si="1"/>
        <v/>
      </c>
      <c r="AB33" s="130" t="str">
        <f t="shared" si="23"/>
        <v/>
      </c>
      <c r="AC33" s="129" t="str">
        <f t="shared" si="3"/>
        <v/>
      </c>
      <c r="AD33" s="130" t="str">
        <f t="shared" si="27"/>
        <v/>
      </c>
      <c r="AE33" s="131" t="str">
        <f t="shared" ref="AE33" si="28">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2"/>
      <c r="AG33" s="133"/>
      <c r="AH33" s="134"/>
      <c r="AI33" s="135"/>
      <c r="AJ33" s="135"/>
      <c r="AK33" s="133"/>
      <c r="AL33" s="134"/>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0.25" customHeight="1" x14ac:dyDescent="0.3">
      <c r="A34" s="209"/>
      <c r="B34" s="200"/>
      <c r="C34" s="200"/>
      <c r="D34" s="139"/>
      <c r="E34" s="200"/>
      <c r="F34" s="212"/>
      <c r="G34" s="212"/>
      <c r="H34" s="200"/>
      <c r="I34" s="203"/>
      <c r="J34" s="206"/>
      <c r="K34" s="218"/>
      <c r="L34" s="221"/>
      <c r="M34" s="218">
        <f ca="1">IF(NOT(ISERROR(MATCH(L34,_xlfn.ANCHORARRAY(G45),0))),K47&amp;"Por favor no seleccionar los criterios de impacto",L34)</f>
        <v>0</v>
      </c>
      <c r="N34" s="206"/>
      <c r="O34" s="218"/>
      <c r="P34" s="215"/>
      <c r="Q34" s="123"/>
      <c r="R34" s="124"/>
      <c r="S34" s="125" t="str">
        <f t="shared" si="25"/>
        <v/>
      </c>
      <c r="T34" s="126"/>
      <c r="U34" s="126"/>
      <c r="V34" s="127" t="str">
        <f t="shared" si="22"/>
        <v/>
      </c>
      <c r="W34" s="126"/>
      <c r="X34" s="126"/>
      <c r="Y34" s="126"/>
      <c r="Z34" s="128" t="str">
        <f t="shared" si="26"/>
        <v/>
      </c>
      <c r="AA34" s="129" t="str">
        <f t="shared" si="1"/>
        <v/>
      </c>
      <c r="AB34" s="130" t="str">
        <f t="shared" si="23"/>
        <v/>
      </c>
      <c r="AC34" s="129" t="str">
        <f>IFERROR(IF(AD34="","",IF(AD34&lt;=0.2,"Leve",IF(AD34&lt;=0.4,"Menor",IF(AD34&lt;=0.6,"Moderado",IF(AD34&lt;=0.8,"Mayor","Catastrófico"))))),"")</f>
        <v/>
      </c>
      <c r="AD34" s="130" t="str">
        <f t="shared" si="27"/>
        <v/>
      </c>
      <c r="AE34" s="131"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2"/>
      <c r="AG34" s="133"/>
      <c r="AH34" s="134"/>
      <c r="AI34" s="135"/>
      <c r="AJ34" s="135"/>
      <c r="AK34" s="133"/>
      <c r="AL34" s="134"/>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71.25" customHeight="1" x14ac:dyDescent="0.3">
      <c r="A35" s="207">
        <v>5</v>
      </c>
      <c r="B35" s="198" t="s">
        <v>188</v>
      </c>
      <c r="C35" s="198" t="s">
        <v>116</v>
      </c>
      <c r="D35" s="137" t="s">
        <v>304</v>
      </c>
      <c r="E35" s="198" t="s">
        <v>305</v>
      </c>
      <c r="F35" s="210" t="s">
        <v>195</v>
      </c>
      <c r="G35" s="210" t="s">
        <v>306</v>
      </c>
      <c r="H35" s="198" t="s">
        <v>217</v>
      </c>
      <c r="I35" s="201">
        <v>12</v>
      </c>
      <c r="J35" s="204" t="str">
        <f>IF(I35&lt;=0,"",IF(I35&lt;=2,"Muy Baja",IF(I35&lt;=24,"Baja",IF(I35&lt;=500,"Media",IF(I35&lt;=5000,"Alta","Muy Alta")))))</f>
        <v>Baja</v>
      </c>
      <c r="K35" s="216">
        <f>IF(J35="","",IF(J35="Muy Baja",0.2,IF(J35="Baja",0.4,IF(J35="Media",0.6,IF(J35="Alta",0.8,IF(J35="Muy Alta",1,))))))</f>
        <v>0.4</v>
      </c>
      <c r="L35" s="219" t="s">
        <v>138</v>
      </c>
      <c r="M35" s="216" t="str">
        <f ca="1">IF(NOT(ISERROR(MATCH(L35,'Tabla Impacto'!$B$221:$B$223,0))),'Tabla Impacto'!$F$223&amp;"Por favor no seleccionar los criterios de impacto(Afectación Económica o presupuestal y Pérdida Reputacional)",L35)</f>
        <v xml:space="preserve">     El riesgo afecta la imagen de la entidad con algunos usuarios de relevancia frente al logro de los objetivos</v>
      </c>
      <c r="N35" s="204" t="str">
        <f ca="1">IF(OR(M35='Tabla Impacto'!$C$11,M35='Tabla Impacto'!$D$11),"Leve",IF(OR(M35='Tabla Impacto'!$C$12,M35='Tabla Impacto'!$D$12),"Menor",IF(OR(M35='Tabla Impacto'!$C$13,M35='Tabla Impacto'!$D$13),"Moderado",IF(OR(M35='Tabla Impacto'!$C$14,M35='Tabla Impacto'!$D$14),"Mayor",IF(OR(M35='Tabla Impacto'!$C$15,M35='Tabla Impacto'!$D$15),"Catastrófico","")))))</f>
        <v>Moderado</v>
      </c>
      <c r="O35" s="216">
        <f ca="1">IF(N35="","",IF(N35="Leve",0.2,IF(N35="Menor",0.4,IF(N35="Moderado",0.6,IF(N35="Mayor",0.8,IF(N35="Catastrófico",1,))))))</f>
        <v>0.6</v>
      </c>
      <c r="P35" s="213" t="str">
        <f ca="1">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Moderado</v>
      </c>
      <c r="Q35" s="123">
        <v>1</v>
      </c>
      <c r="R35" s="124" t="s">
        <v>307</v>
      </c>
      <c r="S35" s="125" t="str">
        <f>IF(OR(T35="Preventivo",T35="Detectivo"),"Probabilidad",IF(T35="Correctivo","Impacto",""))</f>
        <v>Probabilidad</v>
      </c>
      <c r="T35" s="126" t="s">
        <v>14</v>
      </c>
      <c r="U35" s="126" t="s">
        <v>9</v>
      </c>
      <c r="V35" s="127" t="str">
        <f>IF(AND(T35="Preventivo",U35="Automático"),"50%",IF(AND(T35="Preventivo",U35="Manual"),"40%",IF(AND(T35="Detectivo",U35="Automático"),"40%",IF(AND(T35="Detectivo",U35="Manual"),"30%",IF(AND(T35="Correctivo",U35="Automático"),"35%",IF(AND(T35="Correctivo",U35="Manual"),"25%",""))))))</f>
        <v>40%</v>
      </c>
      <c r="W35" s="126" t="s">
        <v>19</v>
      </c>
      <c r="X35" s="126" t="s">
        <v>21</v>
      </c>
      <c r="Y35" s="126" t="s">
        <v>111</v>
      </c>
      <c r="Z35" s="128">
        <f>IFERROR(IF(S35="Probabilidad",(K35-(+K35*V35)),IF(S35="Impacto",K35,"")),"")</f>
        <v>0.24</v>
      </c>
      <c r="AA35" s="129" t="str">
        <f>IFERROR(IF(Z35="","",IF(Z35&lt;=0.2,"Muy Baja",IF(Z35&lt;=0.4,"Baja",IF(Z35&lt;=0.6,"Media",IF(Z35&lt;=0.8,"Alta","Muy Alta"))))),"")</f>
        <v>Baja</v>
      </c>
      <c r="AB35" s="130">
        <f>+Z35</f>
        <v>0.24</v>
      </c>
      <c r="AC35" s="129" t="str">
        <f ca="1">IFERROR(IF(AD35="","",IF(AD35&lt;=0.2,"Leve",IF(AD35&lt;=0.4,"Menor",IF(AD35&lt;=0.6,"Moderado",IF(AD35&lt;=0.8,"Mayor","Catastrófico"))))),"")</f>
        <v>Moderado</v>
      </c>
      <c r="AD35" s="130">
        <f ca="1">IFERROR(IF(S35="Impacto",(O35-(+O35*V35)),IF(S35="Probabilidad",O35,"")),"")</f>
        <v>0.6</v>
      </c>
      <c r="AE35" s="131" t="str">
        <f ca="1">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Moderado</v>
      </c>
      <c r="AF35" s="132" t="s">
        <v>30</v>
      </c>
      <c r="AG35" s="133"/>
      <c r="AH35" s="134"/>
      <c r="AI35" s="135"/>
      <c r="AJ35" s="135"/>
      <c r="AK35" s="133"/>
      <c r="AL35" s="134"/>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1.75" customHeight="1" x14ac:dyDescent="0.3">
      <c r="A36" s="208"/>
      <c r="B36" s="199"/>
      <c r="C36" s="199"/>
      <c r="D36" s="138"/>
      <c r="E36" s="199"/>
      <c r="F36" s="211"/>
      <c r="G36" s="211"/>
      <c r="H36" s="199"/>
      <c r="I36" s="202"/>
      <c r="J36" s="205"/>
      <c r="K36" s="217"/>
      <c r="L36" s="220"/>
      <c r="M36" s="217">
        <f ca="1">IF(NOT(ISERROR(MATCH(L36,_xlfn.ANCHORARRAY(G47),0))),K49&amp;"Por favor no seleccionar los criterios de impacto",L36)</f>
        <v>0</v>
      </c>
      <c r="N36" s="205"/>
      <c r="O36" s="217"/>
      <c r="P36" s="214"/>
      <c r="Q36" s="123"/>
      <c r="R36" s="124"/>
      <c r="S36" s="125" t="str">
        <f>IF(OR(T36="Preventivo",T36="Detectivo"),"Probabilidad",IF(T36="Correctivo","Impacto",""))</f>
        <v/>
      </c>
      <c r="T36" s="126"/>
      <c r="U36" s="126"/>
      <c r="V36" s="127" t="str">
        <f t="shared" ref="V36:V40" si="29">IF(AND(T36="Preventivo",U36="Automático"),"50%",IF(AND(T36="Preventivo",U36="Manual"),"40%",IF(AND(T36="Detectivo",U36="Automático"),"40%",IF(AND(T36="Detectivo",U36="Manual"),"30%",IF(AND(T36="Correctivo",U36="Automático"),"35%",IF(AND(T36="Correctivo",U36="Manual"),"25%",""))))))</f>
        <v/>
      </c>
      <c r="W36" s="126"/>
      <c r="X36" s="126"/>
      <c r="Y36" s="126"/>
      <c r="Z36" s="128" t="str">
        <f>IFERROR(IF(AND(S35="Probabilidad",S36="Probabilidad"),(AB35-(+AB35*V36)),IF(S36="Probabilidad",(K35-(+K35*V36)),IF(S36="Impacto",AB35,""))),"")</f>
        <v/>
      </c>
      <c r="AA36" s="129" t="str">
        <f t="shared" si="1"/>
        <v/>
      </c>
      <c r="AB36" s="130" t="str">
        <f t="shared" ref="AB36:AB40" si="30">+Z36</f>
        <v/>
      </c>
      <c r="AC36" s="129" t="str">
        <f t="shared" si="3"/>
        <v/>
      </c>
      <c r="AD36" s="130" t="str">
        <f>IFERROR(IF(AND(S35="Impacto",S36="Impacto"),(AD35-(+AD35*V36)),IF(S36="Impacto",(O35-(+O35*V36)),IF(S36="Probabilidad",AD35,""))),"")</f>
        <v/>
      </c>
      <c r="AE36" s="131" t="str">
        <f t="shared" ref="AE36:AE37" si="31">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2"/>
      <c r="AG36" s="133"/>
      <c r="AH36" s="134"/>
      <c r="AI36" s="135"/>
      <c r="AJ36" s="135"/>
      <c r="AK36" s="133"/>
      <c r="AL36" s="134"/>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1.75" customHeight="1" x14ac:dyDescent="0.3">
      <c r="A37" s="208"/>
      <c r="B37" s="199"/>
      <c r="C37" s="199"/>
      <c r="D37" s="138"/>
      <c r="E37" s="199"/>
      <c r="F37" s="211"/>
      <c r="G37" s="211"/>
      <c r="H37" s="199"/>
      <c r="I37" s="202"/>
      <c r="J37" s="205"/>
      <c r="K37" s="217"/>
      <c r="L37" s="220"/>
      <c r="M37" s="217">
        <f ca="1">IF(NOT(ISERROR(MATCH(L37,_xlfn.ANCHORARRAY(G48),0))),K50&amp;"Por favor no seleccionar los criterios de impacto",L37)</f>
        <v>0</v>
      </c>
      <c r="N37" s="205"/>
      <c r="O37" s="217"/>
      <c r="P37" s="214"/>
      <c r="Q37" s="123"/>
      <c r="R37" s="136"/>
      <c r="S37" s="125" t="str">
        <f>IF(OR(T37="Preventivo",T37="Detectivo"),"Probabilidad",IF(T37="Correctivo","Impacto",""))</f>
        <v/>
      </c>
      <c r="T37" s="126"/>
      <c r="U37" s="126"/>
      <c r="V37" s="127" t="str">
        <f t="shared" si="29"/>
        <v/>
      </c>
      <c r="W37" s="126"/>
      <c r="X37" s="126"/>
      <c r="Y37" s="126"/>
      <c r="Z37" s="128" t="str">
        <f>IFERROR(IF(AND(S36="Probabilidad",S37="Probabilidad"),(AB36-(+AB36*V37)),IF(AND(S36="Impacto",S37="Probabilidad"),(AB35-(+AB35*V37)),IF(S37="Impacto",AB36,""))),"")</f>
        <v/>
      </c>
      <c r="AA37" s="129" t="str">
        <f t="shared" si="1"/>
        <v/>
      </c>
      <c r="AB37" s="130" t="str">
        <f t="shared" si="30"/>
        <v/>
      </c>
      <c r="AC37" s="129" t="str">
        <f t="shared" si="3"/>
        <v/>
      </c>
      <c r="AD37" s="130" t="str">
        <f>IFERROR(IF(AND(S36="Impacto",S37="Impacto"),(AD36-(+AD36*V37)),IF(AND(S36="Probabilidad",S37="Impacto"),(AD35-(+AD35*V37)),IF(S37="Probabilidad",AD36,""))),"")</f>
        <v/>
      </c>
      <c r="AE37" s="131" t="str">
        <f t="shared" si="31"/>
        <v/>
      </c>
      <c r="AF37" s="132"/>
      <c r="AG37" s="133"/>
      <c r="AH37" s="134"/>
      <c r="AI37" s="135"/>
      <c r="AJ37" s="135"/>
      <c r="AK37" s="133"/>
      <c r="AL37" s="134"/>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1.75" customHeight="1" x14ac:dyDescent="0.3">
      <c r="A38" s="208"/>
      <c r="B38" s="199"/>
      <c r="C38" s="199"/>
      <c r="D38" s="138"/>
      <c r="E38" s="199"/>
      <c r="F38" s="211"/>
      <c r="G38" s="211"/>
      <c r="H38" s="199"/>
      <c r="I38" s="202"/>
      <c r="J38" s="205"/>
      <c r="K38" s="217"/>
      <c r="L38" s="220"/>
      <c r="M38" s="217">
        <f ca="1">IF(NOT(ISERROR(MATCH(L38,_xlfn.ANCHORARRAY(G49),0))),K51&amp;"Por favor no seleccionar los criterios de impacto",L38)</f>
        <v>0</v>
      </c>
      <c r="N38" s="205"/>
      <c r="O38" s="217"/>
      <c r="P38" s="214"/>
      <c r="Q38" s="123"/>
      <c r="R38" s="124"/>
      <c r="S38" s="125" t="str">
        <f t="shared" ref="S38:S40" si="32">IF(OR(T38="Preventivo",T38="Detectivo"),"Probabilidad",IF(T38="Correctivo","Impacto",""))</f>
        <v/>
      </c>
      <c r="T38" s="126"/>
      <c r="U38" s="126"/>
      <c r="V38" s="127" t="str">
        <f t="shared" si="29"/>
        <v/>
      </c>
      <c r="W38" s="126"/>
      <c r="X38" s="126"/>
      <c r="Y38" s="126"/>
      <c r="Z38" s="128" t="str">
        <f t="shared" ref="Z38:Z40" si="33">IFERROR(IF(AND(S37="Probabilidad",S38="Probabilidad"),(AB37-(+AB37*V38)),IF(AND(S37="Impacto",S38="Probabilidad"),(AB36-(+AB36*V38)),IF(S38="Impacto",AB37,""))),"")</f>
        <v/>
      </c>
      <c r="AA38" s="129" t="str">
        <f t="shared" si="1"/>
        <v/>
      </c>
      <c r="AB38" s="130" t="str">
        <f t="shared" si="30"/>
        <v/>
      </c>
      <c r="AC38" s="129" t="str">
        <f t="shared" si="3"/>
        <v/>
      </c>
      <c r="AD38" s="130" t="str">
        <f t="shared" ref="AD38:AD40" si="34">IFERROR(IF(AND(S37="Impacto",S38="Impacto"),(AD37-(+AD37*V38)),IF(AND(S37="Probabilidad",S38="Impacto"),(AD36-(+AD36*V38)),IF(S38="Probabilidad",AD37,""))),"")</f>
        <v/>
      </c>
      <c r="AE38" s="131"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2"/>
      <c r="AG38" s="133"/>
      <c r="AH38" s="134"/>
      <c r="AI38" s="135"/>
      <c r="AJ38" s="135"/>
      <c r="AK38" s="133"/>
      <c r="AL38" s="134"/>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1.75" customHeight="1" x14ac:dyDescent="0.3">
      <c r="A39" s="208"/>
      <c r="B39" s="199"/>
      <c r="C39" s="199"/>
      <c r="D39" s="138"/>
      <c r="E39" s="199"/>
      <c r="F39" s="211"/>
      <c r="G39" s="211"/>
      <c r="H39" s="199"/>
      <c r="I39" s="202"/>
      <c r="J39" s="205"/>
      <c r="K39" s="217"/>
      <c r="L39" s="220"/>
      <c r="M39" s="217">
        <f ca="1">IF(NOT(ISERROR(MATCH(L39,_xlfn.ANCHORARRAY(G50),0))),K52&amp;"Por favor no seleccionar los criterios de impacto",L39)</f>
        <v>0</v>
      </c>
      <c r="N39" s="205"/>
      <c r="O39" s="217"/>
      <c r="P39" s="214"/>
      <c r="Q39" s="123"/>
      <c r="R39" s="124"/>
      <c r="S39" s="125" t="str">
        <f t="shared" si="32"/>
        <v/>
      </c>
      <c r="T39" s="126"/>
      <c r="U39" s="126"/>
      <c r="V39" s="127" t="str">
        <f t="shared" si="29"/>
        <v/>
      </c>
      <c r="W39" s="126"/>
      <c r="X39" s="126"/>
      <c r="Y39" s="126"/>
      <c r="Z39" s="128" t="str">
        <f t="shared" si="33"/>
        <v/>
      </c>
      <c r="AA39" s="129" t="str">
        <f t="shared" si="1"/>
        <v/>
      </c>
      <c r="AB39" s="130" t="str">
        <f t="shared" si="30"/>
        <v/>
      </c>
      <c r="AC39" s="129" t="str">
        <f t="shared" si="3"/>
        <v/>
      </c>
      <c r="AD39" s="130" t="str">
        <f t="shared" si="34"/>
        <v/>
      </c>
      <c r="AE39" s="131" t="str">
        <f t="shared" ref="AE39:AE40" si="35">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2"/>
      <c r="AG39" s="133"/>
      <c r="AH39" s="134"/>
      <c r="AI39" s="135"/>
      <c r="AJ39" s="135"/>
      <c r="AK39" s="133"/>
      <c r="AL39" s="134"/>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1.75" customHeight="1" x14ac:dyDescent="0.3">
      <c r="A40" s="209"/>
      <c r="B40" s="200"/>
      <c r="C40" s="200"/>
      <c r="D40" s="139"/>
      <c r="E40" s="200"/>
      <c r="F40" s="212"/>
      <c r="G40" s="212"/>
      <c r="H40" s="200"/>
      <c r="I40" s="203"/>
      <c r="J40" s="206"/>
      <c r="K40" s="218"/>
      <c r="L40" s="221"/>
      <c r="M40" s="218">
        <f ca="1">IF(NOT(ISERROR(MATCH(L40,_xlfn.ANCHORARRAY(G51),0))),K53&amp;"Por favor no seleccionar los criterios de impacto",L40)</f>
        <v>0</v>
      </c>
      <c r="N40" s="206"/>
      <c r="O40" s="218"/>
      <c r="P40" s="215"/>
      <c r="Q40" s="123"/>
      <c r="R40" s="124"/>
      <c r="S40" s="125" t="str">
        <f t="shared" si="32"/>
        <v/>
      </c>
      <c r="T40" s="126"/>
      <c r="U40" s="126"/>
      <c r="V40" s="127" t="str">
        <f t="shared" si="29"/>
        <v/>
      </c>
      <c r="W40" s="126"/>
      <c r="X40" s="126"/>
      <c r="Y40" s="126"/>
      <c r="Z40" s="128" t="str">
        <f t="shared" si="33"/>
        <v/>
      </c>
      <c r="AA40" s="129" t="str">
        <f t="shared" si="1"/>
        <v/>
      </c>
      <c r="AB40" s="130" t="str">
        <f t="shared" si="30"/>
        <v/>
      </c>
      <c r="AC40" s="129" t="str">
        <f t="shared" si="3"/>
        <v/>
      </c>
      <c r="AD40" s="130" t="str">
        <f t="shared" si="34"/>
        <v/>
      </c>
      <c r="AE40" s="131" t="str">
        <f t="shared" si="35"/>
        <v/>
      </c>
      <c r="AF40" s="132"/>
      <c r="AG40" s="133"/>
      <c r="AH40" s="134"/>
      <c r="AI40" s="135"/>
      <c r="AJ40" s="135"/>
      <c r="AK40" s="133"/>
      <c r="AL40" s="134"/>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1" customHeight="1" x14ac:dyDescent="0.3">
      <c r="A41" s="207"/>
      <c r="B41" s="198"/>
      <c r="C41" s="198"/>
      <c r="D41" s="137"/>
      <c r="E41" s="198"/>
      <c r="F41" s="210"/>
      <c r="G41" s="210"/>
      <c r="H41" s="198"/>
      <c r="I41" s="201"/>
      <c r="J41" s="204" t="str">
        <f>IF(I41&lt;=0,"",IF(I41&lt;=2,"Muy Baja",IF(I41&lt;=24,"Baja",IF(I41&lt;=500,"Media",IF(I41&lt;=5000,"Alta","Muy Alta")))))</f>
        <v/>
      </c>
      <c r="K41" s="216" t="str">
        <f>IF(J41="","",IF(J41="Muy Baja",0.2,IF(J41="Baja",0.4,IF(J41="Media",0.6,IF(J41="Alta",0.8,IF(J41="Muy Alta",1,))))))</f>
        <v/>
      </c>
      <c r="L41" s="219"/>
      <c r="M41" s="216">
        <f ca="1">IF(NOT(ISERROR(MATCH(L41,'Tabla Impacto'!$B$221:$B$223,0))),'Tabla Impacto'!$F$223&amp;"Por favor no seleccionar los criterios de impacto(Afectación Económica o presupuestal y Pérdida Reputacional)",L41)</f>
        <v>0</v>
      </c>
      <c r="N41" s="204" t="str">
        <f ca="1">IF(OR(M41='Tabla Impacto'!$C$11,M41='Tabla Impacto'!$D$11),"Leve",IF(OR(M41='Tabla Impacto'!$C$12,M41='Tabla Impacto'!$D$12),"Menor",IF(OR(M41='Tabla Impacto'!$C$13,M41='Tabla Impacto'!$D$13),"Moderado",IF(OR(M41='Tabla Impacto'!$C$14,M41='Tabla Impacto'!$D$14),"Mayor",IF(OR(M41='Tabla Impacto'!$C$15,M41='Tabla Impacto'!$D$15),"Catastrófico","")))))</f>
        <v/>
      </c>
      <c r="O41" s="216" t="str">
        <f ca="1">IF(N41="","",IF(N41="Leve",0.2,IF(N41="Menor",0.4,IF(N41="Moderado",0.6,IF(N41="Mayor",0.8,IF(N41="Catastrófico",1,))))))</f>
        <v/>
      </c>
      <c r="P41" s="213" t="str">
        <f ca="1">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23"/>
      <c r="R41" s="124"/>
      <c r="S41" s="125" t="str">
        <f>IF(OR(T41="Preventivo",T41="Detectivo"),"Probabilidad",IF(T41="Correctivo","Impacto",""))</f>
        <v/>
      </c>
      <c r="T41" s="126"/>
      <c r="U41" s="126"/>
      <c r="V41" s="127" t="str">
        <f>IF(AND(T41="Preventivo",U41="Automático"),"50%",IF(AND(T41="Preventivo",U41="Manual"),"40%",IF(AND(T41="Detectivo",U41="Automático"),"40%",IF(AND(T41="Detectivo",U41="Manual"),"30%",IF(AND(T41="Correctivo",U41="Automático"),"35%",IF(AND(T41="Correctivo",U41="Manual"),"25%",""))))))</f>
        <v/>
      </c>
      <c r="W41" s="126"/>
      <c r="X41" s="126"/>
      <c r="Y41" s="126"/>
      <c r="Z41" s="128" t="str">
        <f>IFERROR(IF(S41="Probabilidad",(K41-(+K41*V41)),IF(S41="Impacto",K41,"")),"")</f>
        <v/>
      </c>
      <c r="AA41" s="129" t="str">
        <f>IFERROR(IF(Z41="","",IF(Z41&lt;=0.2,"Muy Baja",IF(Z41&lt;=0.4,"Baja",IF(Z41&lt;=0.6,"Media",IF(Z41&lt;=0.8,"Alta","Muy Alta"))))),"")</f>
        <v/>
      </c>
      <c r="AB41" s="130" t="str">
        <f>+Z41</f>
        <v/>
      </c>
      <c r="AC41" s="129" t="str">
        <f>IFERROR(IF(AD41="","",IF(AD41&lt;=0.2,"Leve",IF(AD41&lt;=0.4,"Menor",IF(AD41&lt;=0.6,"Moderado",IF(AD41&lt;=0.8,"Mayor","Catastrófico"))))),"")</f>
        <v/>
      </c>
      <c r="AD41" s="130" t="str">
        <f>IFERROR(IF(S41="Impacto",(O41-(+O41*V41)),IF(S41="Probabilidad",O41,"")),"")</f>
        <v/>
      </c>
      <c r="AE41" s="131"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2"/>
      <c r="AG41" s="133"/>
      <c r="AH41" s="134"/>
      <c r="AI41" s="135"/>
      <c r="AJ41" s="135"/>
      <c r="AK41" s="133"/>
      <c r="AL41" s="134"/>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1" customHeight="1" x14ac:dyDescent="0.3">
      <c r="A42" s="208"/>
      <c r="B42" s="199"/>
      <c r="C42" s="199"/>
      <c r="D42" s="138"/>
      <c r="E42" s="199"/>
      <c r="F42" s="211"/>
      <c r="G42" s="211"/>
      <c r="H42" s="199"/>
      <c r="I42" s="202"/>
      <c r="J42" s="205"/>
      <c r="K42" s="217"/>
      <c r="L42" s="220"/>
      <c r="M42" s="217">
        <f ca="1">IF(NOT(ISERROR(MATCH(L42,_xlfn.ANCHORARRAY(G53),0))),K55&amp;"Por favor no seleccionar los criterios de impacto",L42)</f>
        <v>0</v>
      </c>
      <c r="N42" s="205"/>
      <c r="O42" s="217"/>
      <c r="P42" s="214"/>
      <c r="Q42" s="123"/>
      <c r="R42" s="124"/>
      <c r="S42" s="125" t="str">
        <f>IF(OR(T42="Preventivo",T42="Detectivo"),"Probabilidad",IF(T42="Correctivo","Impacto",""))</f>
        <v/>
      </c>
      <c r="T42" s="126"/>
      <c r="U42" s="126"/>
      <c r="V42" s="127" t="str">
        <f t="shared" ref="V42:V46" si="36">IF(AND(T42="Preventivo",U42="Automático"),"50%",IF(AND(T42="Preventivo",U42="Manual"),"40%",IF(AND(T42="Detectivo",U42="Automático"),"40%",IF(AND(T42="Detectivo",U42="Manual"),"30%",IF(AND(T42="Correctivo",U42="Automático"),"35%",IF(AND(T42="Correctivo",U42="Manual"),"25%",""))))))</f>
        <v/>
      </c>
      <c r="W42" s="126"/>
      <c r="X42" s="126"/>
      <c r="Y42" s="126"/>
      <c r="Z42" s="128" t="str">
        <f>IFERROR(IF(AND(S41="Probabilidad",S42="Probabilidad"),(AB41-(+AB41*V42)),IF(S42="Probabilidad",(K41-(+K41*V42)),IF(S42="Impacto",AB41,""))),"")</f>
        <v/>
      </c>
      <c r="AA42" s="129" t="str">
        <f t="shared" si="1"/>
        <v/>
      </c>
      <c r="AB42" s="130" t="str">
        <f t="shared" ref="AB42:AB46" si="37">+Z42</f>
        <v/>
      </c>
      <c r="AC42" s="129" t="str">
        <f t="shared" si="3"/>
        <v/>
      </c>
      <c r="AD42" s="130" t="str">
        <f>IFERROR(IF(AND(S41="Impacto",S42="Impacto"),(AD41-(+AD41*V42)),IF(S42="Impacto",(O41-(+O41*V42)),IF(S42="Probabilidad",AD41,""))),"")</f>
        <v/>
      </c>
      <c r="AE42" s="131" t="str">
        <f t="shared" ref="AE42:AE43" si="38">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2"/>
      <c r="AG42" s="133"/>
      <c r="AH42" s="134"/>
      <c r="AI42" s="135"/>
      <c r="AJ42" s="135"/>
      <c r="AK42" s="133"/>
      <c r="AL42" s="134"/>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1" customHeight="1" x14ac:dyDescent="0.3">
      <c r="A43" s="208"/>
      <c r="B43" s="199"/>
      <c r="C43" s="199"/>
      <c r="D43" s="138"/>
      <c r="E43" s="199"/>
      <c r="F43" s="211"/>
      <c r="G43" s="211"/>
      <c r="H43" s="199"/>
      <c r="I43" s="202"/>
      <c r="J43" s="205"/>
      <c r="K43" s="217"/>
      <c r="L43" s="220"/>
      <c r="M43" s="217">
        <f ca="1">IF(NOT(ISERROR(MATCH(L43,_xlfn.ANCHORARRAY(G54),0))),K56&amp;"Por favor no seleccionar los criterios de impacto",L43)</f>
        <v>0</v>
      </c>
      <c r="N43" s="205"/>
      <c r="O43" s="217"/>
      <c r="P43" s="214"/>
      <c r="Q43" s="123"/>
      <c r="R43" s="136"/>
      <c r="S43" s="125" t="str">
        <f>IF(OR(T43="Preventivo",T43="Detectivo"),"Probabilidad",IF(T43="Correctivo","Impacto",""))</f>
        <v/>
      </c>
      <c r="T43" s="126"/>
      <c r="U43" s="126"/>
      <c r="V43" s="127" t="str">
        <f t="shared" si="36"/>
        <v/>
      </c>
      <c r="W43" s="126"/>
      <c r="X43" s="126"/>
      <c r="Y43" s="126"/>
      <c r="Z43" s="128" t="str">
        <f>IFERROR(IF(AND(S42="Probabilidad",S43="Probabilidad"),(AB42-(+AB42*V43)),IF(AND(S42="Impacto",S43="Probabilidad"),(AB41-(+AB41*V43)),IF(S43="Impacto",AB42,""))),"")</f>
        <v/>
      </c>
      <c r="AA43" s="129" t="str">
        <f t="shared" si="1"/>
        <v/>
      </c>
      <c r="AB43" s="130" t="str">
        <f t="shared" si="37"/>
        <v/>
      </c>
      <c r="AC43" s="129" t="str">
        <f t="shared" si="3"/>
        <v/>
      </c>
      <c r="AD43" s="130" t="str">
        <f>IFERROR(IF(AND(S42="Impacto",S43="Impacto"),(AD42-(+AD42*V43)),IF(AND(S42="Probabilidad",S43="Impacto"),(AD41-(+AD41*V43)),IF(S43="Probabilidad",AD42,""))),"")</f>
        <v/>
      </c>
      <c r="AE43" s="131" t="str">
        <f t="shared" si="38"/>
        <v/>
      </c>
      <c r="AF43" s="132"/>
      <c r="AG43" s="133"/>
      <c r="AH43" s="134"/>
      <c r="AI43" s="135"/>
      <c r="AJ43" s="135"/>
      <c r="AK43" s="133"/>
      <c r="AL43" s="134"/>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1" customHeight="1" x14ac:dyDescent="0.3">
      <c r="A44" s="208"/>
      <c r="B44" s="199"/>
      <c r="C44" s="199"/>
      <c r="D44" s="138"/>
      <c r="E44" s="199"/>
      <c r="F44" s="211"/>
      <c r="G44" s="211"/>
      <c r="H44" s="199"/>
      <c r="I44" s="202"/>
      <c r="J44" s="205"/>
      <c r="K44" s="217"/>
      <c r="L44" s="220"/>
      <c r="M44" s="217">
        <f ca="1">IF(NOT(ISERROR(MATCH(L44,_xlfn.ANCHORARRAY(G55),0))),K57&amp;"Por favor no seleccionar los criterios de impacto",L44)</f>
        <v>0</v>
      </c>
      <c r="N44" s="205"/>
      <c r="O44" s="217"/>
      <c r="P44" s="214"/>
      <c r="Q44" s="123"/>
      <c r="R44" s="124"/>
      <c r="S44" s="125" t="str">
        <f t="shared" ref="S44:S46" si="39">IF(OR(T44="Preventivo",T44="Detectivo"),"Probabilidad",IF(T44="Correctivo","Impacto",""))</f>
        <v/>
      </c>
      <c r="T44" s="126"/>
      <c r="U44" s="126"/>
      <c r="V44" s="127" t="str">
        <f t="shared" si="36"/>
        <v/>
      </c>
      <c r="W44" s="126"/>
      <c r="X44" s="126"/>
      <c r="Y44" s="126"/>
      <c r="Z44" s="128" t="str">
        <f t="shared" ref="Z44:Z46" si="40">IFERROR(IF(AND(S43="Probabilidad",S44="Probabilidad"),(AB43-(+AB43*V44)),IF(AND(S43="Impacto",S44="Probabilidad"),(AB42-(+AB42*V44)),IF(S44="Impacto",AB43,""))),"")</f>
        <v/>
      </c>
      <c r="AA44" s="129" t="str">
        <f t="shared" si="1"/>
        <v/>
      </c>
      <c r="AB44" s="130" t="str">
        <f t="shared" si="37"/>
        <v/>
      </c>
      <c r="AC44" s="129" t="str">
        <f t="shared" si="3"/>
        <v/>
      </c>
      <c r="AD44" s="130" t="str">
        <f t="shared" ref="AD44:AD46" si="41">IFERROR(IF(AND(S43="Impacto",S44="Impacto"),(AD43-(+AD43*V44)),IF(AND(S43="Probabilidad",S44="Impacto"),(AD42-(+AD42*V44)),IF(S44="Probabilidad",AD43,""))),"")</f>
        <v/>
      </c>
      <c r="AE44" s="131"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2"/>
      <c r="AG44" s="133"/>
      <c r="AH44" s="134"/>
      <c r="AI44" s="135"/>
      <c r="AJ44" s="135"/>
      <c r="AK44" s="133"/>
      <c r="AL44" s="134"/>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1" customHeight="1" x14ac:dyDescent="0.3">
      <c r="A45" s="208"/>
      <c r="B45" s="199"/>
      <c r="C45" s="199"/>
      <c r="D45" s="138"/>
      <c r="E45" s="199"/>
      <c r="F45" s="211"/>
      <c r="G45" s="211"/>
      <c r="H45" s="199"/>
      <c r="I45" s="202"/>
      <c r="J45" s="205"/>
      <c r="K45" s="217"/>
      <c r="L45" s="220"/>
      <c r="M45" s="217">
        <f ca="1">IF(NOT(ISERROR(MATCH(L45,_xlfn.ANCHORARRAY(G56),0))),K58&amp;"Por favor no seleccionar los criterios de impacto",L45)</f>
        <v>0</v>
      </c>
      <c r="N45" s="205"/>
      <c r="O45" s="217"/>
      <c r="P45" s="214"/>
      <c r="Q45" s="123"/>
      <c r="R45" s="124"/>
      <c r="S45" s="125" t="str">
        <f t="shared" si="39"/>
        <v/>
      </c>
      <c r="T45" s="126"/>
      <c r="U45" s="126"/>
      <c r="V45" s="127" t="str">
        <f t="shared" si="36"/>
        <v/>
      </c>
      <c r="W45" s="126"/>
      <c r="X45" s="126"/>
      <c r="Y45" s="126"/>
      <c r="Z45" s="128" t="str">
        <f t="shared" si="40"/>
        <v/>
      </c>
      <c r="AA45" s="129" t="str">
        <f t="shared" si="1"/>
        <v/>
      </c>
      <c r="AB45" s="130" t="str">
        <f t="shared" si="37"/>
        <v/>
      </c>
      <c r="AC45" s="129" t="str">
        <f t="shared" si="3"/>
        <v/>
      </c>
      <c r="AD45" s="130" t="str">
        <f t="shared" si="41"/>
        <v/>
      </c>
      <c r="AE45" s="131" t="str">
        <f t="shared" ref="AE45:AE46" si="42">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2"/>
      <c r="AG45" s="133"/>
      <c r="AH45" s="134"/>
      <c r="AI45" s="135"/>
      <c r="AJ45" s="135"/>
      <c r="AK45" s="133"/>
      <c r="AL45" s="134"/>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1" customHeight="1" x14ac:dyDescent="0.3">
      <c r="A46" s="209"/>
      <c r="B46" s="200"/>
      <c r="C46" s="200"/>
      <c r="D46" s="139"/>
      <c r="E46" s="200"/>
      <c r="F46" s="212"/>
      <c r="G46" s="212"/>
      <c r="H46" s="200"/>
      <c r="I46" s="203"/>
      <c r="J46" s="206"/>
      <c r="K46" s="218"/>
      <c r="L46" s="221"/>
      <c r="M46" s="218">
        <f ca="1">IF(NOT(ISERROR(MATCH(L46,_xlfn.ANCHORARRAY(G57),0))),K59&amp;"Por favor no seleccionar los criterios de impacto",L46)</f>
        <v>0</v>
      </c>
      <c r="N46" s="206"/>
      <c r="O46" s="218"/>
      <c r="P46" s="215"/>
      <c r="Q46" s="123"/>
      <c r="R46" s="124"/>
      <c r="S46" s="125" t="str">
        <f t="shared" si="39"/>
        <v/>
      </c>
      <c r="T46" s="126"/>
      <c r="U46" s="126"/>
      <c r="V46" s="127" t="str">
        <f t="shared" si="36"/>
        <v/>
      </c>
      <c r="W46" s="126"/>
      <c r="X46" s="126"/>
      <c r="Y46" s="126"/>
      <c r="Z46" s="128" t="str">
        <f t="shared" si="40"/>
        <v/>
      </c>
      <c r="AA46" s="129" t="str">
        <f t="shared" si="1"/>
        <v/>
      </c>
      <c r="AB46" s="130" t="str">
        <f t="shared" si="37"/>
        <v/>
      </c>
      <c r="AC46" s="129" t="str">
        <f t="shared" si="3"/>
        <v/>
      </c>
      <c r="AD46" s="130" t="str">
        <f t="shared" si="41"/>
        <v/>
      </c>
      <c r="AE46" s="131" t="str">
        <f t="shared" si="42"/>
        <v/>
      </c>
      <c r="AF46" s="132"/>
      <c r="AG46" s="133"/>
      <c r="AH46" s="134"/>
      <c r="AI46" s="135"/>
      <c r="AJ46" s="135"/>
      <c r="AK46" s="133"/>
      <c r="AL46" s="134"/>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1" customHeight="1" x14ac:dyDescent="0.3">
      <c r="A47" s="207"/>
      <c r="B47" s="198"/>
      <c r="C47" s="198"/>
      <c r="D47" s="137"/>
      <c r="E47" s="198"/>
      <c r="F47" s="210"/>
      <c r="G47" s="210"/>
      <c r="H47" s="198"/>
      <c r="I47" s="201"/>
      <c r="J47" s="204" t="str">
        <f>IF(I47&lt;=0,"",IF(I47&lt;=2,"Muy Baja",IF(I47&lt;=24,"Baja",IF(I47&lt;=500,"Media",IF(I47&lt;=5000,"Alta","Muy Alta")))))</f>
        <v/>
      </c>
      <c r="K47" s="216" t="str">
        <f>IF(J47="","",IF(J47="Muy Baja",0.2,IF(J47="Baja",0.4,IF(J47="Media",0.6,IF(J47="Alta",0.8,IF(J47="Muy Alta",1,))))))</f>
        <v/>
      </c>
      <c r="L47" s="219"/>
      <c r="M47" s="216">
        <f ca="1">IF(NOT(ISERROR(MATCH(L47,'Tabla Impacto'!$B$221:$B$223,0))),'Tabla Impacto'!$F$223&amp;"Por favor no seleccionar los criterios de impacto(Afectación Económica o presupuestal y Pérdida Reputacional)",L47)</f>
        <v>0</v>
      </c>
      <c r="N47" s="204" t="str">
        <f ca="1">IF(OR(M47='Tabla Impacto'!$C$11,M47='Tabla Impacto'!$D$11),"Leve",IF(OR(M47='Tabla Impacto'!$C$12,M47='Tabla Impacto'!$D$12),"Menor",IF(OR(M47='Tabla Impacto'!$C$13,M47='Tabla Impacto'!$D$13),"Moderado",IF(OR(M47='Tabla Impacto'!$C$14,M47='Tabla Impacto'!$D$14),"Mayor",IF(OR(M47='Tabla Impacto'!$C$15,M47='Tabla Impacto'!$D$15),"Catastrófico","")))))</f>
        <v/>
      </c>
      <c r="O47" s="216" t="str">
        <f ca="1">IF(N47="","",IF(N47="Leve",0.2,IF(N47="Menor",0.4,IF(N47="Moderado",0.6,IF(N47="Mayor",0.8,IF(N47="Catastrófico",1,))))))</f>
        <v/>
      </c>
      <c r="P47" s="213" t="str">
        <f ca="1">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23"/>
      <c r="R47" s="124"/>
      <c r="S47" s="125" t="str">
        <f>IF(OR(T47="Preventivo",T47="Detectivo"),"Probabilidad",IF(T47="Correctivo","Impacto",""))</f>
        <v/>
      </c>
      <c r="T47" s="126"/>
      <c r="U47" s="126"/>
      <c r="V47" s="127" t="str">
        <f>IF(AND(T47="Preventivo",U47="Automático"),"50%",IF(AND(T47="Preventivo",U47="Manual"),"40%",IF(AND(T47="Detectivo",U47="Automático"),"40%",IF(AND(T47="Detectivo",U47="Manual"),"30%",IF(AND(T47="Correctivo",U47="Automático"),"35%",IF(AND(T47="Correctivo",U47="Manual"),"25%",""))))))</f>
        <v/>
      </c>
      <c r="W47" s="126"/>
      <c r="X47" s="126"/>
      <c r="Y47" s="126"/>
      <c r="Z47" s="128" t="str">
        <f>IFERROR(IF(S47="Probabilidad",(K47-(+K47*V47)),IF(S47="Impacto",K47,"")),"")</f>
        <v/>
      </c>
      <c r="AA47" s="129" t="str">
        <f>IFERROR(IF(Z47="","",IF(Z47&lt;=0.2,"Muy Baja",IF(Z47&lt;=0.4,"Baja",IF(Z47&lt;=0.6,"Media",IF(Z47&lt;=0.8,"Alta","Muy Alta"))))),"")</f>
        <v/>
      </c>
      <c r="AB47" s="130" t="str">
        <f>+Z47</f>
        <v/>
      </c>
      <c r="AC47" s="129" t="str">
        <f>IFERROR(IF(AD47="","",IF(AD47&lt;=0.2,"Leve",IF(AD47&lt;=0.4,"Menor",IF(AD47&lt;=0.6,"Moderado",IF(AD47&lt;=0.8,"Mayor","Catastrófico"))))),"")</f>
        <v/>
      </c>
      <c r="AD47" s="130" t="str">
        <f>IFERROR(IF(S47="Impacto",(O47-(+O47*V47)),IF(S47="Probabilidad",O47,"")),"")</f>
        <v/>
      </c>
      <c r="AE47" s="131"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2"/>
      <c r="AG47" s="133"/>
      <c r="AH47" s="134"/>
      <c r="AI47" s="135"/>
      <c r="AJ47" s="135"/>
      <c r="AK47" s="133"/>
      <c r="AL47" s="134"/>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1" customHeight="1" x14ac:dyDescent="0.3">
      <c r="A48" s="208"/>
      <c r="B48" s="199"/>
      <c r="C48" s="199"/>
      <c r="D48" s="138"/>
      <c r="E48" s="199"/>
      <c r="F48" s="211"/>
      <c r="G48" s="211"/>
      <c r="H48" s="199"/>
      <c r="I48" s="202"/>
      <c r="J48" s="205"/>
      <c r="K48" s="217"/>
      <c r="L48" s="220"/>
      <c r="M48" s="217">
        <f ca="1">IF(NOT(ISERROR(MATCH(L48,_xlfn.ANCHORARRAY(E59),0))),K61&amp;"Por favor no seleccionar los criterios de impacto",L48)</f>
        <v>0</v>
      </c>
      <c r="N48" s="205"/>
      <c r="O48" s="217"/>
      <c r="P48" s="214"/>
      <c r="Q48" s="123"/>
      <c r="R48" s="124"/>
      <c r="S48" s="125" t="str">
        <f>IF(OR(T48="Preventivo",T48="Detectivo"),"Probabilidad",IF(T48="Correctivo","Impacto",""))</f>
        <v/>
      </c>
      <c r="T48" s="126"/>
      <c r="U48" s="126"/>
      <c r="V48" s="127" t="str">
        <f t="shared" ref="V48:V52" si="43">IF(AND(T48="Preventivo",U48="Automático"),"50%",IF(AND(T48="Preventivo",U48="Manual"),"40%",IF(AND(T48="Detectivo",U48="Automático"),"40%",IF(AND(T48="Detectivo",U48="Manual"),"30%",IF(AND(T48="Correctivo",U48="Automático"),"35%",IF(AND(T48="Correctivo",U48="Manual"),"25%",""))))))</f>
        <v/>
      </c>
      <c r="W48" s="126"/>
      <c r="X48" s="126"/>
      <c r="Y48" s="126"/>
      <c r="Z48" s="128" t="str">
        <f>IFERROR(IF(AND(S47="Probabilidad",S48="Probabilidad"),(AB47-(+AB47*V48)),IF(S48="Probabilidad",(K47-(+K47*V48)),IF(S48="Impacto",AB47,""))),"")</f>
        <v/>
      </c>
      <c r="AA48" s="129" t="str">
        <f t="shared" si="1"/>
        <v/>
      </c>
      <c r="AB48" s="130" t="str">
        <f t="shared" ref="AB48:AB52" si="44">+Z48</f>
        <v/>
      </c>
      <c r="AC48" s="129" t="str">
        <f t="shared" si="3"/>
        <v/>
      </c>
      <c r="AD48" s="130" t="str">
        <f>IFERROR(IF(AND(S47="Impacto",S48="Impacto"),(AD47-(+AD47*V48)),IF(S48="Impacto",(O47-(+O47*V48)),IF(S48="Probabilidad",AD47,""))),"")</f>
        <v/>
      </c>
      <c r="AE48" s="131" t="str">
        <f t="shared" ref="AE48:AE49" si="45">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2"/>
      <c r="AG48" s="133"/>
      <c r="AH48" s="134"/>
      <c r="AI48" s="135"/>
      <c r="AJ48" s="135"/>
      <c r="AK48" s="133"/>
      <c r="AL48" s="134"/>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1" customHeight="1" x14ac:dyDescent="0.3">
      <c r="A49" s="208"/>
      <c r="B49" s="199"/>
      <c r="C49" s="199"/>
      <c r="D49" s="138"/>
      <c r="E49" s="199"/>
      <c r="F49" s="211"/>
      <c r="G49" s="211"/>
      <c r="H49" s="199"/>
      <c r="I49" s="202"/>
      <c r="J49" s="205"/>
      <c r="K49" s="217"/>
      <c r="L49" s="220"/>
      <c r="M49" s="217">
        <f ca="1">IF(NOT(ISERROR(MATCH(L49,_xlfn.ANCHORARRAY(E60),0))),K62&amp;"Por favor no seleccionar los criterios de impacto",L49)</f>
        <v>0</v>
      </c>
      <c r="N49" s="205"/>
      <c r="O49" s="217"/>
      <c r="P49" s="214"/>
      <c r="Q49" s="123"/>
      <c r="R49" s="136"/>
      <c r="S49" s="125" t="str">
        <f>IF(OR(T49="Preventivo",T49="Detectivo"),"Probabilidad",IF(T49="Correctivo","Impacto",""))</f>
        <v/>
      </c>
      <c r="T49" s="126"/>
      <c r="U49" s="126"/>
      <c r="V49" s="127" t="str">
        <f t="shared" si="43"/>
        <v/>
      </c>
      <c r="W49" s="126"/>
      <c r="X49" s="126"/>
      <c r="Y49" s="126"/>
      <c r="Z49" s="128" t="str">
        <f>IFERROR(IF(AND(S48="Probabilidad",S49="Probabilidad"),(AB48-(+AB48*V49)),IF(AND(S48="Impacto",S49="Probabilidad"),(AB47-(+AB47*V49)),IF(S49="Impacto",AB48,""))),"")</f>
        <v/>
      </c>
      <c r="AA49" s="129" t="str">
        <f t="shared" si="1"/>
        <v/>
      </c>
      <c r="AB49" s="130" t="str">
        <f t="shared" si="44"/>
        <v/>
      </c>
      <c r="AC49" s="129" t="str">
        <f t="shared" si="3"/>
        <v/>
      </c>
      <c r="AD49" s="130" t="str">
        <f>IFERROR(IF(AND(S48="Impacto",S49="Impacto"),(AD48-(+AD48*V49)),IF(AND(S48="Probabilidad",S49="Impacto"),(AD47-(+AD47*V49)),IF(S49="Probabilidad",AD48,""))),"")</f>
        <v/>
      </c>
      <c r="AE49" s="131" t="str">
        <f t="shared" si="45"/>
        <v/>
      </c>
      <c r="AF49" s="132"/>
      <c r="AG49" s="133"/>
      <c r="AH49" s="134"/>
      <c r="AI49" s="135"/>
      <c r="AJ49" s="135"/>
      <c r="AK49" s="133"/>
      <c r="AL49" s="134"/>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1" customHeight="1" x14ac:dyDescent="0.3">
      <c r="A50" s="208"/>
      <c r="B50" s="199"/>
      <c r="C50" s="199"/>
      <c r="D50" s="138"/>
      <c r="E50" s="199"/>
      <c r="F50" s="211"/>
      <c r="G50" s="211"/>
      <c r="H50" s="199"/>
      <c r="I50" s="202"/>
      <c r="J50" s="205"/>
      <c r="K50" s="217"/>
      <c r="L50" s="220"/>
      <c r="M50" s="217">
        <f ca="1">IF(NOT(ISERROR(MATCH(L50,_xlfn.ANCHORARRAY(E61),0))),K63&amp;"Por favor no seleccionar los criterios de impacto",L50)</f>
        <v>0</v>
      </c>
      <c r="N50" s="205"/>
      <c r="O50" s="217"/>
      <c r="P50" s="214"/>
      <c r="Q50" s="123"/>
      <c r="R50" s="124"/>
      <c r="S50" s="125" t="str">
        <f t="shared" ref="S50:S52" si="46">IF(OR(T50="Preventivo",T50="Detectivo"),"Probabilidad",IF(T50="Correctivo","Impacto",""))</f>
        <v/>
      </c>
      <c r="T50" s="126"/>
      <c r="U50" s="126"/>
      <c r="V50" s="127" t="str">
        <f t="shared" si="43"/>
        <v/>
      </c>
      <c r="W50" s="126"/>
      <c r="X50" s="126"/>
      <c r="Y50" s="126"/>
      <c r="Z50" s="128" t="str">
        <f t="shared" ref="Z50:Z52" si="47">IFERROR(IF(AND(S49="Probabilidad",S50="Probabilidad"),(AB49-(+AB49*V50)),IF(AND(S49="Impacto",S50="Probabilidad"),(AB48-(+AB48*V50)),IF(S50="Impacto",AB49,""))),"")</f>
        <v/>
      </c>
      <c r="AA50" s="129" t="str">
        <f t="shared" si="1"/>
        <v/>
      </c>
      <c r="AB50" s="130" t="str">
        <f t="shared" si="44"/>
        <v/>
      </c>
      <c r="AC50" s="129" t="str">
        <f t="shared" si="3"/>
        <v/>
      </c>
      <c r="AD50" s="130" t="str">
        <f t="shared" ref="AD50:AD52" si="48">IFERROR(IF(AND(S49="Impacto",S50="Impacto"),(AD49-(+AD49*V50)),IF(AND(S49="Probabilidad",S50="Impacto"),(AD48-(+AD48*V50)),IF(S50="Probabilidad",AD49,""))),"")</f>
        <v/>
      </c>
      <c r="AE50" s="131"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2"/>
      <c r="AG50" s="133"/>
      <c r="AH50" s="134"/>
      <c r="AI50" s="135"/>
      <c r="AJ50" s="135"/>
      <c r="AK50" s="133"/>
      <c r="AL50" s="134"/>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1" customHeight="1" x14ac:dyDescent="0.3">
      <c r="A51" s="208"/>
      <c r="B51" s="199"/>
      <c r="C51" s="199"/>
      <c r="D51" s="138"/>
      <c r="E51" s="199"/>
      <c r="F51" s="211"/>
      <c r="G51" s="211"/>
      <c r="H51" s="199"/>
      <c r="I51" s="202"/>
      <c r="J51" s="205"/>
      <c r="K51" s="217"/>
      <c r="L51" s="220"/>
      <c r="M51" s="217">
        <f ca="1">IF(NOT(ISERROR(MATCH(L51,_xlfn.ANCHORARRAY(E62),0))),K64&amp;"Por favor no seleccionar los criterios de impacto",L51)</f>
        <v>0</v>
      </c>
      <c r="N51" s="205"/>
      <c r="O51" s="217"/>
      <c r="P51" s="214"/>
      <c r="Q51" s="123"/>
      <c r="R51" s="124"/>
      <c r="S51" s="125" t="str">
        <f t="shared" si="46"/>
        <v/>
      </c>
      <c r="T51" s="126"/>
      <c r="U51" s="126"/>
      <c r="V51" s="127" t="str">
        <f t="shared" si="43"/>
        <v/>
      </c>
      <c r="W51" s="126"/>
      <c r="X51" s="126"/>
      <c r="Y51" s="126"/>
      <c r="Z51" s="128" t="str">
        <f t="shared" si="47"/>
        <v/>
      </c>
      <c r="AA51" s="129" t="str">
        <f t="shared" si="1"/>
        <v/>
      </c>
      <c r="AB51" s="130" t="str">
        <f t="shared" si="44"/>
        <v/>
      </c>
      <c r="AC51" s="129" t="str">
        <f t="shared" si="3"/>
        <v/>
      </c>
      <c r="AD51" s="130" t="str">
        <f t="shared" si="48"/>
        <v/>
      </c>
      <c r="AE51" s="131" t="str">
        <f t="shared" ref="AE51:AE52" si="49">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2"/>
      <c r="AG51" s="133"/>
      <c r="AH51" s="134"/>
      <c r="AI51" s="135"/>
      <c r="AJ51" s="135"/>
      <c r="AK51" s="133"/>
      <c r="AL51" s="134"/>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1" customHeight="1" x14ac:dyDescent="0.3">
      <c r="A52" s="209"/>
      <c r="B52" s="200"/>
      <c r="C52" s="200"/>
      <c r="D52" s="139"/>
      <c r="E52" s="200"/>
      <c r="F52" s="212"/>
      <c r="G52" s="212"/>
      <c r="H52" s="200"/>
      <c r="I52" s="203"/>
      <c r="J52" s="206"/>
      <c r="K52" s="218"/>
      <c r="L52" s="221"/>
      <c r="M52" s="218">
        <f ca="1">IF(NOT(ISERROR(MATCH(L52,_xlfn.ANCHORARRAY(E63),0))),K65&amp;"Por favor no seleccionar los criterios de impacto",L52)</f>
        <v>0</v>
      </c>
      <c r="N52" s="206"/>
      <c r="O52" s="218"/>
      <c r="P52" s="215"/>
      <c r="Q52" s="123"/>
      <c r="R52" s="124"/>
      <c r="S52" s="125" t="str">
        <f t="shared" si="46"/>
        <v/>
      </c>
      <c r="T52" s="126"/>
      <c r="U52" s="126"/>
      <c r="V52" s="127" t="str">
        <f t="shared" si="43"/>
        <v/>
      </c>
      <c r="W52" s="126"/>
      <c r="X52" s="126"/>
      <c r="Y52" s="126"/>
      <c r="Z52" s="128" t="str">
        <f t="shared" si="47"/>
        <v/>
      </c>
      <c r="AA52" s="129" t="str">
        <f t="shared" si="1"/>
        <v/>
      </c>
      <c r="AB52" s="130" t="str">
        <f t="shared" si="44"/>
        <v/>
      </c>
      <c r="AC52" s="129" t="str">
        <f t="shared" si="3"/>
        <v/>
      </c>
      <c r="AD52" s="130" t="str">
        <f t="shared" si="48"/>
        <v/>
      </c>
      <c r="AE52" s="131" t="str">
        <f t="shared" si="49"/>
        <v/>
      </c>
      <c r="AF52" s="132"/>
      <c r="AG52" s="133"/>
      <c r="AH52" s="134"/>
      <c r="AI52" s="135"/>
      <c r="AJ52" s="135"/>
      <c r="AK52" s="133"/>
      <c r="AL52" s="134"/>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1" customHeight="1" x14ac:dyDescent="0.3">
      <c r="A53" s="207"/>
      <c r="B53" s="198"/>
      <c r="C53" s="198"/>
      <c r="D53" s="137"/>
      <c r="E53" s="198"/>
      <c r="F53" s="210"/>
      <c r="G53" s="210"/>
      <c r="H53" s="198"/>
      <c r="I53" s="201"/>
      <c r="J53" s="204" t="str">
        <f>IF(I53&lt;=0,"",IF(I53&lt;=2,"Muy Baja",IF(I53&lt;=24,"Baja",IF(I53&lt;=500,"Media",IF(I53&lt;=5000,"Alta","Muy Alta")))))</f>
        <v/>
      </c>
      <c r="K53" s="216" t="str">
        <f>IF(J53="","",IF(J53="Muy Baja",0.2,IF(J53="Baja",0.4,IF(J53="Media",0.6,IF(J53="Alta",0.8,IF(J53="Muy Alta",1,))))))</f>
        <v/>
      </c>
      <c r="L53" s="219"/>
      <c r="M53" s="216">
        <f ca="1">IF(NOT(ISERROR(MATCH(L53,'Tabla Impacto'!$B$221:$B$223,0))),'Tabla Impacto'!$F$223&amp;"Por favor no seleccionar los criterios de impacto(Afectación Económica o presupuestal y Pérdida Reputacional)",L53)</f>
        <v>0</v>
      </c>
      <c r="N53" s="204" t="str">
        <f ca="1">IF(OR(M53='Tabla Impacto'!$C$11,M53='Tabla Impacto'!$D$11),"Leve",IF(OR(M53='Tabla Impacto'!$C$12,M53='Tabla Impacto'!$D$12),"Menor",IF(OR(M53='Tabla Impacto'!$C$13,M53='Tabla Impacto'!$D$13),"Moderado",IF(OR(M53='Tabla Impacto'!$C$14,M53='Tabla Impacto'!$D$14),"Mayor",IF(OR(M53='Tabla Impacto'!$C$15,M53='Tabla Impacto'!$D$15),"Catastrófico","")))))</f>
        <v/>
      </c>
      <c r="O53" s="216" t="str">
        <f ca="1">IF(N53="","",IF(N53="Leve",0.2,IF(N53="Menor",0.4,IF(N53="Moderado",0.6,IF(N53="Mayor",0.8,IF(N53="Catastrófico",1,))))))</f>
        <v/>
      </c>
      <c r="P53" s="213" t="str">
        <f ca="1">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23"/>
      <c r="R53" s="124"/>
      <c r="S53" s="125" t="str">
        <f>IF(OR(T53="Preventivo",T53="Detectivo"),"Probabilidad",IF(T53="Correctivo","Impacto",""))</f>
        <v/>
      </c>
      <c r="T53" s="126"/>
      <c r="U53" s="126"/>
      <c r="V53" s="127" t="str">
        <f>IF(AND(T53="Preventivo",U53="Automático"),"50%",IF(AND(T53="Preventivo",U53="Manual"),"40%",IF(AND(T53="Detectivo",U53="Automático"),"40%",IF(AND(T53="Detectivo",U53="Manual"),"30%",IF(AND(T53="Correctivo",U53="Automático"),"35%",IF(AND(T53="Correctivo",U53="Manual"),"25%",""))))))</f>
        <v/>
      </c>
      <c r="W53" s="126"/>
      <c r="X53" s="126"/>
      <c r="Y53" s="126"/>
      <c r="Z53" s="128" t="str">
        <f>IFERROR(IF(S53="Probabilidad",(K53-(+K53*V53)),IF(S53="Impacto",K53,"")),"")</f>
        <v/>
      </c>
      <c r="AA53" s="129" t="str">
        <f>IFERROR(IF(Z53="","",IF(Z53&lt;=0.2,"Muy Baja",IF(Z53&lt;=0.4,"Baja",IF(Z53&lt;=0.6,"Media",IF(Z53&lt;=0.8,"Alta","Muy Alta"))))),"")</f>
        <v/>
      </c>
      <c r="AB53" s="130" t="str">
        <f>+Z53</f>
        <v/>
      </c>
      <c r="AC53" s="129" t="str">
        <f>IFERROR(IF(AD53="","",IF(AD53&lt;=0.2,"Leve",IF(AD53&lt;=0.4,"Menor",IF(AD53&lt;=0.6,"Moderado",IF(AD53&lt;=0.8,"Mayor","Catastrófico"))))),"")</f>
        <v/>
      </c>
      <c r="AD53" s="130" t="str">
        <f>IFERROR(IF(S53="Impacto",(O53-(+O53*V53)),IF(S53="Probabilidad",O53,"")),"")</f>
        <v/>
      </c>
      <c r="AE53" s="131"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2"/>
      <c r="AG53" s="133"/>
      <c r="AH53" s="134"/>
      <c r="AI53" s="135"/>
      <c r="AJ53" s="135"/>
      <c r="AK53" s="133"/>
      <c r="AL53" s="134"/>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1" customHeight="1" x14ac:dyDescent="0.3">
      <c r="A54" s="208"/>
      <c r="B54" s="199"/>
      <c r="C54" s="199"/>
      <c r="D54" s="138"/>
      <c r="E54" s="199"/>
      <c r="F54" s="211"/>
      <c r="G54" s="211"/>
      <c r="H54" s="199"/>
      <c r="I54" s="202"/>
      <c r="J54" s="205"/>
      <c r="K54" s="217"/>
      <c r="L54" s="220"/>
      <c r="M54" s="217">
        <f ca="1">IF(NOT(ISERROR(MATCH(L54,_xlfn.ANCHORARRAY(E65),0))),K67&amp;"Por favor no seleccionar los criterios de impacto",L54)</f>
        <v>0</v>
      </c>
      <c r="N54" s="205"/>
      <c r="O54" s="217"/>
      <c r="P54" s="214"/>
      <c r="Q54" s="123"/>
      <c r="R54" s="124"/>
      <c r="S54" s="125" t="str">
        <f>IF(OR(T54="Preventivo",T54="Detectivo"),"Probabilidad",IF(T54="Correctivo","Impacto",""))</f>
        <v/>
      </c>
      <c r="T54" s="126"/>
      <c r="U54" s="126"/>
      <c r="V54" s="127" t="str">
        <f t="shared" ref="V54:V58" si="50">IF(AND(T54="Preventivo",U54="Automático"),"50%",IF(AND(T54="Preventivo",U54="Manual"),"40%",IF(AND(T54="Detectivo",U54="Automático"),"40%",IF(AND(T54="Detectivo",U54="Manual"),"30%",IF(AND(T54="Correctivo",U54="Automático"),"35%",IF(AND(T54="Correctivo",U54="Manual"),"25%",""))))))</f>
        <v/>
      </c>
      <c r="W54" s="126"/>
      <c r="X54" s="126"/>
      <c r="Y54" s="126"/>
      <c r="Z54" s="128" t="str">
        <f>IFERROR(IF(AND(S53="Probabilidad",S54="Probabilidad"),(AB53-(+AB53*V54)),IF(S54="Probabilidad",(K53-(+K53*V54)),IF(S54="Impacto",AB53,""))),"")</f>
        <v/>
      </c>
      <c r="AA54" s="129" t="str">
        <f t="shared" si="1"/>
        <v/>
      </c>
      <c r="AB54" s="130" t="str">
        <f t="shared" ref="AB54:AB58" si="51">+Z54</f>
        <v/>
      </c>
      <c r="AC54" s="129" t="str">
        <f t="shared" si="3"/>
        <v/>
      </c>
      <c r="AD54" s="130" t="str">
        <f>IFERROR(IF(AND(S53="Impacto",S54="Impacto"),(AD53-(+AD53*V54)),IF(S54="Impacto",(O53-(+O53*V54)),IF(S54="Probabilidad",AD53,""))),"")</f>
        <v/>
      </c>
      <c r="AE54" s="131" t="str">
        <f t="shared" ref="AE54:AE55" si="52">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2"/>
      <c r="AG54" s="133"/>
      <c r="AH54" s="134"/>
      <c r="AI54" s="135"/>
      <c r="AJ54" s="135"/>
      <c r="AK54" s="133"/>
      <c r="AL54" s="134"/>
    </row>
    <row r="55" spans="1:70" ht="21" customHeight="1" x14ac:dyDescent="0.3">
      <c r="A55" s="208"/>
      <c r="B55" s="199"/>
      <c r="C55" s="199"/>
      <c r="D55" s="138"/>
      <c r="E55" s="199"/>
      <c r="F55" s="211"/>
      <c r="G55" s="211"/>
      <c r="H55" s="199"/>
      <c r="I55" s="202"/>
      <c r="J55" s="205"/>
      <c r="K55" s="217"/>
      <c r="L55" s="220"/>
      <c r="M55" s="217">
        <f ca="1">IF(NOT(ISERROR(MATCH(L55,_xlfn.ANCHORARRAY(E66),0))),K68&amp;"Por favor no seleccionar los criterios de impacto",L55)</f>
        <v>0</v>
      </c>
      <c r="N55" s="205"/>
      <c r="O55" s="217"/>
      <c r="P55" s="214"/>
      <c r="Q55" s="123"/>
      <c r="R55" s="136"/>
      <c r="S55" s="125" t="str">
        <f>IF(OR(T55="Preventivo",T55="Detectivo"),"Probabilidad",IF(T55="Correctivo","Impacto",""))</f>
        <v/>
      </c>
      <c r="T55" s="126"/>
      <c r="U55" s="126"/>
      <c r="V55" s="127" t="str">
        <f t="shared" si="50"/>
        <v/>
      </c>
      <c r="W55" s="126"/>
      <c r="X55" s="126"/>
      <c r="Y55" s="126"/>
      <c r="Z55" s="128" t="str">
        <f>IFERROR(IF(AND(S54="Probabilidad",S55="Probabilidad"),(AB54-(+AB54*V55)),IF(AND(S54="Impacto",S55="Probabilidad"),(AB53-(+AB53*V55)),IF(S55="Impacto",AB54,""))),"")</f>
        <v/>
      </c>
      <c r="AA55" s="129" t="str">
        <f t="shared" si="1"/>
        <v/>
      </c>
      <c r="AB55" s="130" t="str">
        <f t="shared" si="51"/>
        <v/>
      </c>
      <c r="AC55" s="129" t="str">
        <f t="shared" si="3"/>
        <v/>
      </c>
      <c r="AD55" s="130" t="str">
        <f>IFERROR(IF(AND(S54="Impacto",S55="Impacto"),(AD54-(+AD54*V55)),IF(AND(S54="Probabilidad",S55="Impacto"),(AD53-(+AD53*V55)),IF(S55="Probabilidad",AD54,""))),"")</f>
        <v/>
      </c>
      <c r="AE55" s="131" t="str">
        <f t="shared" si="52"/>
        <v/>
      </c>
      <c r="AF55" s="132"/>
      <c r="AG55" s="133"/>
      <c r="AH55" s="134"/>
      <c r="AI55" s="135"/>
      <c r="AJ55" s="135"/>
      <c r="AK55" s="133"/>
      <c r="AL55" s="134"/>
    </row>
    <row r="56" spans="1:70" ht="21" customHeight="1" x14ac:dyDescent="0.3">
      <c r="A56" s="208"/>
      <c r="B56" s="199"/>
      <c r="C56" s="199"/>
      <c r="D56" s="138"/>
      <c r="E56" s="199"/>
      <c r="F56" s="211"/>
      <c r="G56" s="211"/>
      <c r="H56" s="199"/>
      <c r="I56" s="202"/>
      <c r="J56" s="205"/>
      <c r="K56" s="217"/>
      <c r="L56" s="220"/>
      <c r="M56" s="217">
        <f ca="1">IF(NOT(ISERROR(MATCH(L56,_xlfn.ANCHORARRAY(E67),0))),K69&amp;"Por favor no seleccionar los criterios de impacto",L56)</f>
        <v>0</v>
      </c>
      <c r="N56" s="205"/>
      <c r="O56" s="217"/>
      <c r="P56" s="214"/>
      <c r="Q56" s="123"/>
      <c r="R56" s="124"/>
      <c r="S56" s="125" t="str">
        <f t="shared" ref="S56:S58" si="53">IF(OR(T56="Preventivo",T56="Detectivo"),"Probabilidad",IF(T56="Correctivo","Impacto",""))</f>
        <v/>
      </c>
      <c r="T56" s="126"/>
      <c r="U56" s="126"/>
      <c r="V56" s="127" t="str">
        <f t="shared" si="50"/>
        <v/>
      </c>
      <c r="W56" s="126"/>
      <c r="X56" s="126"/>
      <c r="Y56" s="126"/>
      <c r="Z56" s="128" t="str">
        <f t="shared" ref="Z56:Z58" si="54">IFERROR(IF(AND(S55="Probabilidad",S56="Probabilidad"),(AB55-(+AB55*V56)),IF(AND(S55="Impacto",S56="Probabilidad"),(AB54-(+AB54*V56)),IF(S56="Impacto",AB55,""))),"")</f>
        <v/>
      </c>
      <c r="AA56" s="129" t="str">
        <f t="shared" si="1"/>
        <v/>
      </c>
      <c r="AB56" s="130" t="str">
        <f t="shared" si="51"/>
        <v/>
      </c>
      <c r="AC56" s="129" t="str">
        <f t="shared" si="3"/>
        <v/>
      </c>
      <c r="AD56" s="130" t="str">
        <f t="shared" ref="AD56:AD58" si="55">IFERROR(IF(AND(S55="Impacto",S56="Impacto"),(AD55-(+AD55*V56)),IF(AND(S55="Probabilidad",S56="Impacto"),(AD54-(+AD54*V56)),IF(S56="Probabilidad",AD55,""))),"")</f>
        <v/>
      </c>
      <c r="AE56" s="131"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2"/>
      <c r="AG56" s="133"/>
      <c r="AH56" s="134"/>
      <c r="AI56" s="135"/>
      <c r="AJ56" s="135"/>
      <c r="AK56" s="133"/>
      <c r="AL56" s="134"/>
    </row>
    <row r="57" spans="1:70" ht="21" customHeight="1" x14ac:dyDescent="0.3">
      <c r="A57" s="208"/>
      <c r="B57" s="199"/>
      <c r="C57" s="199"/>
      <c r="D57" s="138"/>
      <c r="E57" s="199"/>
      <c r="F57" s="211"/>
      <c r="G57" s="211"/>
      <c r="H57" s="199"/>
      <c r="I57" s="202"/>
      <c r="J57" s="205"/>
      <c r="K57" s="217"/>
      <c r="L57" s="220"/>
      <c r="M57" s="217">
        <f ca="1">IF(NOT(ISERROR(MATCH(L57,_xlfn.ANCHORARRAY(E68),0))),K70&amp;"Por favor no seleccionar los criterios de impacto",L57)</f>
        <v>0</v>
      </c>
      <c r="N57" s="205"/>
      <c r="O57" s="217"/>
      <c r="P57" s="214"/>
      <c r="Q57" s="123"/>
      <c r="R57" s="124"/>
      <c r="S57" s="125" t="str">
        <f t="shared" si="53"/>
        <v/>
      </c>
      <c r="T57" s="126"/>
      <c r="U57" s="126"/>
      <c r="V57" s="127" t="str">
        <f t="shared" si="50"/>
        <v/>
      </c>
      <c r="W57" s="126"/>
      <c r="X57" s="126"/>
      <c r="Y57" s="126"/>
      <c r="Z57" s="128" t="str">
        <f t="shared" si="54"/>
        <v/>
      </c>
      <c r="AA57" s="129" t="str">
        <f t="shared" si="1"/>
        <v/>
      </c>
      <c r="AB57" s="130" t="str">
        <f t="shared" si="51"/>
        <v/>
      </c>
      <c r="AC57" s="129" t="str">
        <f t="shared" si="3"/>
        <v/>
      </c>
      <c r="AD57" s="130" t="str">
        <f t="shared" si="55"/>
        <v/>
      </c>
      <c r="AE57" s="131" t="str">
        <f t="shared" ref="AE57:AE58" si="56">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2"/>
      <c r="AG57" s="133"/>
      <c r="AH57" s="134"/>
      <c r="AI57" s="135"/>
      <c r="AJ57" s="135"/>
      <c r="AK57" s="133"/>
      <c r="AL57" s="134"/>
    </row>
    <row r="58" spans="1:70" ht="21" customHeight="1" x14ac:dyDescent="0.3">
      <c r="A58" s="209"/>
      <c r="B58" s="200"/>
      <c r="C58" s="200"/>
      <c r="D58" s="139"/>
      <c r="E58" s="200"/>
      <c r="F58" s="212"/>
      <c r="G58" s="212"/>
      <c r="H58" s="200"/>
      <c r="I58" s="203"/>
      <c r="J58" s="206"/>
      <c r="K58" s="218"/>
      <c r="L58" s="221"/>
      <c r="M58" s="218">
        <f ca="1">IF(NOT(ISERROR(MATCH(L58,_xlfn.ANCHORARRAY(E69),0))),K71&amp;"Por favor no seleccionar los criterios de impacto",L58)</f>
        <v>0</v>
      </c>
      <c r="N58" s="206"/>
      <c r="O58" s="218"/>
      <c r="P58" s="215"/>
      <c r="Q58" s="123"/>
      <c r="R58" s="124"/>
      <c r="S58" s="125" t="str">
        <f t="shared" si="53"/>
        <v/>
      </c>
      <c r="T58" s="126"/>
      <c r="U58" s="126"/>
      <c r="V58" s="127" t="str">
        <f t="shared" si="50"/>
        <v/>
      </c>
      <c r="W58" s="126"/>
      <c r="X58" s="126"/>
      <c r="Y58" s="126"/>
      <c r="Z58" s="128" t="str">
        <f t="shared" si="54"/>
        <v/>
      </c>
      <c r="AA58" s="129" t="str">
        <f t="shared" si="1"/>
        <v/>
      </c>
      <c r="AB58" s="130" t="str">
        <f t="shared" si="51"/>
        <v/>
      </c>
      <c r="AC58" s="129" t="str">
        <f t="shared" si="3"/>
        <v/>
      </c>
      <c r="AD58" s="130" t="str">
        <f t="shared" si="55"/>
        <v/>
      </c>
      <c r="AE58" s="131" t="str">
        <f t="shared" si="56"/>
        <v/>
      </c>
      <c r="AF58" s="132"/>
      <c r="AG58" s="133"/>
      <c r="AH58" s="134"/>
      <c r="AI58" s="135"/>
      <c r="AJ58" s="135"/>
      <c r="AK58" s="133"/>
      <c r="AL58" s="134"/>
    </row>
    <row r="59" spans="1:70" ht="21" customHeight="1" x14ac:dyDescent="0.3">
      <c r="A59" s="6"/>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1"/>
    </row>
    <row r="61" spans="1:70" x14ac:dyDescent="0.3">
      <c r="A61" s="1"/>
      <c r="B61" s="24"/>
      <c r="C61" s="1"/>
      <c r="D61" s="1"/>
      <c r="F61" s="1"/>
      <c r="G61" s="1"/>
      <c r="H61" s="1"/>
    </row>
  </sheetData>
  <dataConsolidate/>
  <mergeCells count="170">
    <mergeCell ref="P35:P40"/>
    <mergeCell ref="H41:H46"/>
    <mergeCell ref="I41:I46"/>
    <mergeCell ref="J41:J46"/>
    <mergeCell ref="K41:K46"/>
    <mergeCell ref="L41:L46"/>
    <mergeCell ref="H35:H40"/>
    <mergeCell ref="I35:I40"/>
    <mergeCell ref="J35:J40"/>
    <mergeCell ref="K35:K40"/>
    <mergeCell ref="M41:M46"/>
    <mergeCell ref="N41:N46"/>
    <mergeCell ref="O41:O46"/>
    <mergeCell ref="P41:P46"/>
    <mergeCell ref="Q4:S4"/>
    <mergeCell ref="A1:AL2"/>
    <mergeCell ref="A8:I8"/>
    <mergeCell ref="J8:P8"/>
    <mergeCell ref="Q8:Y8"/>
    <mergeCell ref="Z8:AF8"/>
    <mergeCell ref="AG8:AL8"/>
    <mergeCell ref="AG9:AG10"/>
    <mergeCell ref="AL9:AL10"/>
    <mergeCell ref="AK9:AK10"/>
    <mergeCell ref="AJ9:AJ10"/>
    <mergeCell ref="AI9:AI10"/>
    <mergeCell ref="AH9:AH10"/>
    <mergeCell ref="A6:B6"/>
    <mergeCell ref="A7:B7"/>
    <mergeCell ref="A9:A10"/>
    <mergeCell ref="H9:H10"/>
    <mergeCell ref="G9:G10"/>
    <mergeCell ref="E9:E10"/>
    <mergeCell ref="A47:A52"/>
    <mergeCell ref="B47:B52"/>
    <mergeCell ref="E47:E52"/>
    <mergeCell ref="G47:G52"/>
    <mergeCell ref="H47:H52"/>
    <mergeCell ref="Q5:S5"/>
    <mergeCell ref="B9:B10"/>
    <mergeCell ref="D9:D10"/>
    <mergeCell ref="F9:F10"/>
    <mergeCell ref="C9:C10"/>
    <mergeCell ref="F17:F22"/>
    <mergeCell ref="F23:F28"/>
    <mergeCell ref="F29:F34"/>
    <mergeCell ref="F35:F40"/>
    <mergeCell ref="F41:F46"/>
    <mergeCell ref="F47:F52"/>
    <mergeCell ref="C17:C22"/>
    <mergeCell ref="C23:C28"/>
    <mergeCell ref="C29:C34"/>
    <mergeCell ref="C35:C40"/>
    <mergeCell ref="A53:A58"/>
    <mergeCell ref="B53:B58"/>
    <mergeCell ref="E53:E58"/>
    <mergeCell ref="G53:G58"/>
    <mergeCell ref="H53:H58"/>
    <mergeCell ref="I53:I58"/>
    <mergeCell ref="J53:J58"/>
    <mergeCell ref="K53:K58"/>
    <mergeCell ref="L53:L58"/>
    <mergeCell ref="C53:C58"/>
    <mergeCell ref="F53:F58"/>
    <mergeCell ref="I29:I34"/>
    <mergeCell ref="J29:J34"/>
    <mergeCell ref="K29:K34"/>
    <mergeCell ref="M23:M28"/>
    <mergeCell ref="N23:N28"/>
    <mergeCell ref="P23:P28"/>
    <mergeCell ref="P29:P34"/>
    <mergeCell ref="N29:N34"/>
    <mergeCell ref="B59:AL59"/>
    <mergeCell ref="O47:O52"/>
    <mergeCell ref="P47:P52"/>
    <mergeCell ref="M53:M58"/>
    <mergeCell ref="N53:N58"/>
    <mergeCell ref="O53:O58"/>
    <mergeCell ref="P53:P58"/>
    <mergeCell ref="L47:L52"/>
    <mergeCell ref="M47:M52"/>
    <mergeCell ref="N47:N52"/>
    <mergeCell ref="C41:C46"/>
    <mergeCell ref="C47:C52"/>
    <mergeCell ref="I47:I52"/>
    <mergeCell ref="J47:J52"/>
    <mergeCell ref="K47:K52"/>
    <mergeCell ref="O35:O40"/>
    <mergeCell ref="A41:A46"/>
    <mergeCell ref="B41:B46"/>
    <mergeCell ref="E41:E46"/>
    <mergeCell ref="G41:G46"/>
    <mergeCell ref="A35:A40"/>
    <mergeCell ref="B35:B40"/>
    <mergeCell ref="E35:E40"/>
    <mergeCell ref="G35:G40"/>
    <mergeCell ref="O23:O28"/>
    <mergeCell ref="O29:O34"/>
    <mergeCell ref="L35:L40"/>
    <mergeCell ref="M35:M40"/>
    <mergeCell ref="N35:N40"/>
    <mergeCell ref="A23:A28"/>
    <mergeCell ref="B23:B28"/>
    <mergeCell ref="A29:A34"/>
    <mergeCell ref="B29:B34"/>
    <mergeCell ref="E29:E34"/>
    <mergeCell ref="G29:G34"/>
    <mergeCell ref="H29:H34"/>
    <mergeCell ref="E23:E28"/>
    <mergeCell ref="G23:G28"/>
    <mergeCell ref="L29:L34"/>
    <mergeCell ref="M29:M34"/>
    <mergeCell ref="H23:H28"/>
    <mergeCell ref="I23:I28"/>
    <mergeCell ref="J23:J28"/>
    <mergeCell ref="A17:A22"/>
    <mergeCell ref="B17:B22"/>
    <mergeCell ref="E17:E22"/>
    <mergeCell ref="G17:G22"/>
    <mergeCell ref="H17:H22"/>
    <mergeCell ref="I17:I22"/>
    <mergeCell ref="J17:J22"/>
    <mergeCell ref="K17:K22"/>
    <mergeCell ref="L17:L22"/>
    <mergeCell ref="M17:M22"/>
    <mergeCell ref="N17:N22"/>
    <mergeCell ref="O17:O22"/>
    <mergeCell ref="P17:P22"/>
    <mergeCell ref="K23:K28"/>
    <mergeCell ref="L23:L28"/>
    <mergeCell ref="AF9:AF10"/>
    <mergeCell ref="C6:P6"/>
    <mergeCell ref="C7:P7"/>
    <mergeCell ref="Q9:Q10"/>
    <mergeCell ref="AE9:AE10"/>
    <mergeCell ref="AD9:AD10"/>
    <mergeCell ref="Z9:Z10"/>
    <mergeCell ref="R9:R10"/>
    <mergeCell ref="AC9:AC10"/>
    <mergeCell ref="AA9:AA10"/>
    <mergeCell ref="AB9:AB10"/>
    <mergeCell ref="I9:I10"/>
    <mergeCell ref="J9:J10"/>
    <mergeCell ref="K9:K10"/>
    <mergeCell ref="N9:N10"/>
    <mergeCell ref="O9:O10"/>
    <mergeCell ref="P9:P10"/>
    <mergeCell ref="L9:L10"/>
    <mergeCell ref="M9:M10"/>
    <mergeCell ref="S9:S10"/>
    <mergeCell ref="T9:Y9"/>
    <mergeCell ref="C4:P4"/>
    <mergeCell ref="H11:H16"/>
    <mergeCell ref="I11:I16"/>
    <mergeCell ref="J11:J16"/>
    <mergeCell ref="A11:A16"/>
    <mergeCell ref="B11:B16"/>
    <mergeCell ref="E11:E16"/>
    <mergeCell ref="G11:G16"/>
    <mergeCell ref="P11:P16"/>
    <mergeCell ref="K11:K16"/>
    <mergeCell ref="L11:L16"/>
    <mergeCell ref="M11:M16"/>
    <mergeCell ref="N11:N16"/>
    <mergeCell ref="O11:O16"/>
    <mergeCell ref="F11:F16"/>
    <mergeCell ref="C11:C16"/>
    <mergeCell ref="A4:B4"/>
    <mergeCell ref="A5:B5"/>
    <mergeCell ref="C5:P5"/>
  </mergeCells>
  <conditionalFormatting sqref="J11">
    <cfRule type="cellIs" dxfId="190" priority="319" operator="equal">
      <formula>"Muy Alta"</formula>
    </cfRule>
    <cfRule type="cellIs" dxfId="189" priority="320" operator="equal">
      <formula>"Alta"</formula>
    </cfRule>
    <cfRule type="cellIs" dxfId="188" priority="321" operator="equal">
      <formula>"Media"</formula>
    </cfRule>
    <cfRule type="cellIs" dxfId="187" priority="322" operator="equal">
      <formula>"Baja"</formula>
    </cfRule>
    <cfRule type="cellIs" dxfId="186" priority="323" operator="equal">
      <formula>"Muy Baja"</formula>
    </cfRule>
  </conditionalFormatting>
  <conditionalFormatting sqref="N11 N17 N23 N29 N35 N41 N47 N53">
    <cfRule type="cellIs" dxfId="185" priority="314" operator="equal">
      <formula>"Catastrófico"</formula>
    </cfRule>
    <cfRule type="cellIs" dxfId="184" priority="315" operator="equal">
      <formula>"Mayor"</formula>
    </cfRule>
    <cfRule type="cellIs" dxfId="183" priority="316" operator="equal">
      <formula>"Moderado"</formula>
    </cfRule>
    <cfRule type="cellIs" dxfId="182" priority="317" operator="equal">
      <formula>"Menor"</formula>
    </cfRule>
    <cfRule type="cellIs" dxfId="181" priority="318" operator="equal">
      <formula>"Leve"</formula>
    </cfRule>
  </conditionalFormatting>
  <conditionalFormatting sqref="P11">
    <cfRule type="cellIs" dxfId="180" priority="310" operator="equal">
      <formula>"Extremo"</formula>
    </cfRule>
    <cfRule type="cellIs" dxfId="179" priority="311" operator="equal">
      <formula>"Alto"</formula>
    </cfRule>
    <cfRule type="cellIs" dxfId="178" priority="312" operator="equal">
      <formula>"Moderado"</formula>
    </cfRule>
    <cfRule type="cellIs" dxfId="177" priority="313" operator="equal">
      <formula>"Bajo"</formula>
    </cfRule>
  </conditionalFormatting>
  <conditionalFormatting sqref="AA11:AA16">
    <cfRule type="cellIs" dxfId="176" priority="305" operator="equal">
      <formula>"Muy Alta"</formula>
    </cfRule>
    <cfRule type="cellIs" dxfId="175" priority="306" operator="equal">
      <formula>"Alta"</formula>
    </cfRule>
    <cfRule type="cellIs" dxfId="174" priority="307" operator="equal">
      <formula>"Media"</formula>
    </cfRule>
    <cfRule type="cellIs" dxfId="173" priority="308" operator="equal">
      <formula>"Baja"</formula>
    </cfRule>
    <cfRule type="cellIs" dxfId="172" priority="309" operator="equal">
      <formula>"Muy Baja"</formula>
    </cfRule>
  </conditionalFormatting>
  <conditionalFormatting sqref="AC11:AC16">
    <cfRule type="cellIs" dxfId="171" priority="300" operator="equal">
      <formula>"Catastrófico"</formula>
    </cfRule>
    <cfRule type="cellIs" dxfId="170" priority="301" operator="equal">
      <formula>"Mayor"</formula>
    </cfRule>
    <cfRule type="cellIs" dxfId="169" priority="302" operator="equal">
      <formula>"Moderado"</formula>
    </cfRule>
    <cfRule type="cellIs" dxfId="168" priority="303" operator="equal">
      <formula>"Menor"</formula>
    </cfRule>
    <cfRule type="cellIs" dxfId="167" priority="304" operator="equal">
      <formula>"Leve"</formula>
    </cfRule>
  </conditionalFormatting>
  <conditionalFormatting sqref="AE11:AE16">
    <cfRule type="cellIs" dxfId="166" priority="296" operator="equal">
      <formula>"Extremo"</formula>
    </cfRule>
    <cfRule type="cellIs" dxfId="165" priority="297" operator="equal">
      <formula>"Alto"</formula>
    </cfRule>
    <cfRule type="cellIs" dxfId="164" priority="298" operator="equal">
      <formula>"Moderado"</formula>
    </cfRule>
    <cfRule type="cellIs" dxfId="163" priority="299" operator="equal">
      <formula>"Bajo"</formula>
    </cfRule>
  </conditionalFormatting>
  <conditionalFormatting sqref="J47">
    <cfRule type="cellIs" dxfId="162" priority="53" operator="equal">
      <formula>"Muy Alta"</formula>
    </cfRule>
    <cfRule type="cellIs" dxfId="161" priority="54" operator="equal">
      <formula>"Alta"</formula>
    </cfRule>
    <cfRule type="cellIs" dxfId="160" priority="55" operator="equal">
      <formula>"Media"</formula>
    </cfRule>
    <cfRule type="cellIs" dxfId="159" priority="56" operator="equal">
      <formula>"Baja"</formula>
    </cfRule>
    <cfRule type="cellIs" dxfId="158" priority="57" operator="equal">
      <formula>"Muy Baja"</formula>
    </cfRule>
  </conditionalFormatting>
  <conditionalFormatting sqref="J17">
    <cfRule type="cellIs" dxfId="157" priority="193" operator="equal">
      <formula>"Muy Alta"</formula>
    </cfRule>
    <cfRule type="cellIs" dxfId="156" priority="194" operator="equal">
      <formula>"Alta"</formula>
    </cfRule>
    <cfRule type="cellIs" dxfId="155" priority="195" operator="equal">
      <formula>"Media"</formula>
    </cfRule>
    <cfRule type="cellIs" dxfId="154" priority="196" operator="equal">
      <formula>"Baja"</formula>
    </cfRule>
    <cfRule type="cellIs" dxfId="153" priority="197" operator="equal">
      <formula>"Muy Baja"</formula>
    </cfRule>
  </conditionalFormatting>
  <conditionalFormatting sqref="P17">
    <cfRule type="cellIs" dxfId="152" priority="184" operator="equal">
      <formula>"Extremo"</formula>
    </cfRule>
    <cfRule type="cellIs" dxfId="151" priority="185" operator="equal">
      <formula>"Alto"</formula>
    </cfRule>
    <cfRule type="cellIs" dxfId="150" priority="186" operator="equal">
      <formula>"Moderado"</formula>
    </cfRule>
    <cfRule type="cellIs" dxfId="149" priority="187" operator="equal">
      <formula>"Bajo"</formula>
    </cfRule>
  </conditionalFormatting>
  <conditionalFormatting sqref="AA17:AA22">
    <cfRule type="cellIs" dxfId="148" priority="179" operator="equal">
      <formula>"Muy Alta"</formula>
    </cfRule>
    <cfRule type="cellIs" dxfId="147" priority="180" operator="equal">
      <formula>"Alta"</formula>
    </cfRule>
    <cfRule type="cellIs" dxfId="146" priority="181" operator="equal">
      <formula>"Media"</formula>
    </cfRule>
    <cfRule type="cellIs" dxfId="145" priority="182" operator="equal">
      <formula>"Baja"</formula>
    </cfRule>
    <cfRule type="cellIs" dxfId="144" priority="183" operator="equal">
      <formula>"Muy Baja"</formula>
    </cfRule>
  </conditionalFormatting>
  <conditionalFormatting sqref="AC17:AC22">
    <cfRule type="cellIs" dxfId="143" priority="174" operator="equal">
      <formula>"Catastrófico"</formula>
    </cfRule>
    <cfRule type="cellIs" dxfId="142" priority="175" operator="equal">
      <formula>"Mayor"</formula>
    </cfRule>
    <cfRule type="cellIs" dxfId="141" priority="176" operator="equal">
      <formula>"Moderado"</formula>
    </cfRule>
    <cfRule type="cellIs" dxfId="140" priority="177" operator="equal">
      <formula>"Menor"</formula>
    </cfRule>
    <cfRule type="cellIs" dxfId="139" priority="178" operator="equal">
      <formula>"Leve"</formula>
    </cfRule>
  </conditionalFormatting>
  <conditionalFormatting sqref="AE17:AE22">
    <cfRule type="cellIs" dxfId="138" priority="170" operator="equal">
      <formula>"Extremo"</formula>
    </cfRule>
    <cfRule type="cellIs" dxfId="137" priority="171" operator="equal">
      <formula>"Alto"</formula>
    </cfRule>
    <cfRule type="cellIs" dxfId="136" priority="172" operator="equal">
      <formula>"Moderado"</formula>
    </cfRule>
    <cfRule type="cellIs" dxfId="135" priority="173" operator="equal">
      <formula>"Bajo"</formula>
    </cfRule>
  </conditionalFormatting>
  <conditionalFormatting sqref="J23">
    <cfRule type="cellIs" dxfId="134" priority="165" operator="equal">
      <formula>"Muy Alta"</formula>
    </cfRule>
    <cfRule type="cellIs" dxfId="133" priority="166" operator="equal">
      <formula>"Alta"</formula>
    </cfRule>
    <cfRule type="cellIs" dxfId="132" priority="167" operator="equal">
      <formula>"Media"</formula>
    </cfRule>
    <cfRule type="cellIs" dxfId="131" priority="168" operator="equal">
      <formula>"Baja"</formula>
    </cfRule>
    <cfRule type="cellIs" dxfId="130" priority="169" operator="equal">
      <formula>"Muy Baja"</formula>
    </cfRule>
  </conditionalFormatting>
  <conditionalFormatting sqref="P23">
    <cfRule type="cellIs" dxfId="129" priority="156" operator="equal">
      <formula>"Extremo"</formula>
    </cfRule>
    <cfRule type="cellIs" dxfId="128" priority="157" operator="equal">
      <formula>"Alto"</formula>
    </cfRule>
    <cfRule type="cellIs" dxfId="127" priority="158" operator="equal">
      <formula>"Moderado"</formula>
    </cfRule>
    <cfRule type="cellIs" dxfId="126" priority="159" operator="equal">
      <formula>"Bajo"</formula>
    </cfRule>
  </conditionalFormatting>
  <conditionalFormatting sqref="AA23:AA28">
    <cfRule type="cellIs" dxfId="125" priority="151" operator="equal">
      <formula>"Muy Alta"</formula>
    </cfRule>
    <cfRule type="cellIs" dxfId="124" priority="152" operator="equal">
      <formula>"Alta"</formula>
    </cfRule>
    <cfRule type="cellIs" dxfId="123" priority="153" operator="equal">
      <formula>"Media"</formula>
    </cfRule>
    <cfRule type="cellIs" dxfId="122" priority="154" operator="equal">
      <formula>"Baja"</formula>
    </cfRule>
    <cfRule type="cellIs" dxfId="121" priority="155" operator="equal">
      <formula>"Muy Baja"</formula>
    </cfRule>
  </conditionalFormatting>
  <conditionalFormatting sqref="AC23:AC28">
    <cfRule type="cellIs" dxfId="120" priority="146" operator="equal">
      <formula>"Catastrófico"</formula>
    </cfRule>
    <cfRule type="cellIs" dxfId="119" priority="147" operator="equal">
      <formula>"Mayor"</formula>
    </cfRule>
    <cfRule type="cellIs" dxfId="118" priority="148" operator="equal">
      <formula>"Moderado"</formula>
    </cfRule>
    <cfRule type="cellIs" dxfId="117" priority="149" operator="equal">
      <formula>"Menor"</formula>
    </cfRule>
    <cfRule type="cellIs" dxfId="116" priority="150" operator="equal">
      <formula>"Leve"</formula>
    </cfRule>
  </conditionalFormatting>
  <conditionalFormatting sqref="AE23:AE28">
    <cfRule type="cellIs" dxfId="115" priority="142" operator="equal">
      <formula>"Extremo"</formula>
    </cfRule>
    <cfRule type="cellIs" dxfId="114" priority="143" operator="equal">
      <formula>"Alto"</formula>
    </cfRule>
    <cfRule type="cellIs" dxfId="113" priority="144" operator="equal">
      <formula>"Moderado"</formula>
    </cfRule>
    <cfRule type="cellIs" dxfId="112" priority="145" operator="equal">
      <formula>"Bajo"</formula>
    </cfRule>
  </conditionalFormatting>
  <conditionalFormatting sqref="J29">
    <cfRule type="cellIs" dxfId="111" priority="137" operator="equal">
      <formula>"Muy Alta"</formula>
    </cfRule>
    <cfRule type="cellIs" dxfId="110" priority="138" operator="equal">
      <formula>"Alta"</formula>
    </cfRule>
    <cfRule type="cellIs" dxfId="109" priority="139" operator="equal">
      <formula>"Media"</formula>
    </cfRule>
    <cfRule type="cellIs" dxfId="108" priority="140" operator="equal">
      <formula>"Baja"</formula>
    </cfRule>
    <cfRule type="cellIs" dxfId="107" priority="141" operator="equal">
      <formula>"Muy Baja"</formula>
    </cfRule>
  </conditionalFormatting>
  <conditionalFormatting sqref="P29">
    <cfRule type="cellIs" dxfId="106" priority="128" operator="equal">
      <formula>"Extremo"</formula>
    </cfRule>
    <cfRule type="cellIs" dxfId="105" priority="129" operator="equal">
      <formula>"Alto"</formula>
    </cfRule>
    <cfRule type="cellIs" dxfId="104" priority="130" operator="equal">
      <formula>"Moderado"</formula>
    </cfRule>
    <cfRule type="cellIs" dxfId="103" priority="131" operator="equal">
      <formula>"Bajo"</formula>
    </cfRule>
  </conditionalFormatting>
  <conditionalFormatting sqref="AA29:AA34">
    <cfRule type="cellIs" dxfId="102" priority="123" operator="equal">
      <formula>"Muy Alta"</formula>
    </cfRule>
    <cfRule type="cellIs" dxfId="101" priority="124" operator="equal">
      <formula>"Alta"</formula>
    </cfRule>
    <cfRule type="cellIs" dxfId="100" priority="125" operator="equal">
      <formula>"Media"</formula>
    </cfRule>
    <cfRule type="cellIs" dxfId="99" priority="126" operator="equal">
      <formula>"Baja"</formula>
    </cfRule>
    <cfRule type="cellIs" dxfId="98" priority="127" operator="equal">
      <formula>"Muy Baja"</formula>
    </cfRule>
  </conditionalFormatting>
  <conditionalFormatting sqref="AC29:AC34">
    <cfRule type="cellIs" dxfId="97" priority="118" operator="equal">
      <formula>"Catastrófico"</formula>
    </cfRule>
    <cfRule type="cellIs" dxfId="96" priority="119" operator="equal">
      <formula>"Mayor"</formula>
    </cfRule>
    <cfRule type="cellIs" dxfId="95" priority="120" operator="equal">
      <formula>"Moderado"</formula>
    </cfRule>
    <cfRule type="cellIs" dxfId="94" priority="121" operator="equal">
      <formula>"Menor"</formula>
    </cfRule>
    <cfRule type="cellIs" dxfId="93" priority="122" operator="equal">
      <formula>"Leve"</formula>
    </cfRule>
  </conditionalFormatting>
  <conditionalFormatting sqref="AE29:AE34">
    <cfRule type="cellIs" dxfId="92" priority="114" operator="equal">
      <formula>"Extremo"</formula>
    </cfRule>
    <cfRule type="cellIs" dxfId="91" priority="115" operator="equal">
      <formula>"Alto"</formula>
    </cfRule>
    <cfRule type="cellIs" dxfId="90" priority="116" operator="equal">
      <formula>"Moderado"</formula>
    </cfRule>
    <cfRule type="cellIs" dxfId="89" priority="117" operator="equal">
      <formula>"Bajo"</formula>
    </cfRule>
  </conditionalFormatting>
  <conditionalFormatting sqref="J35">
    <cfRule type="cellIs" dxfId="88" priority="109" operator="equal">
      <formula>"Muy Alta"</formula>
    </cfRule>
    <cfRule type="cellIs" dxfId="87" priority="110" operator="equal">
      <formula>"Alta"</formula>
    </cfRule>
    <cfRule type="cellIs" dxfId="86" priority="111" operator="equal">
      <formula>"Media"</formula>
    </cfRule>
    <cfRule type="cellIs" dxfId="85" priority="112" operator="equal">
      <formula>"Baja"</formula>
    </cfRule>
    <cfRule type="cellIs" dxfId="84" priority="113" operator="equal">
      <formula>"Muy Baja"</formula>
    </cfRule>
  </conditionalFormatting>
  <conditionalFormatting sqref="P35">
    <cfRule type="cellIs" dxfId="83" priority="100" operator="equal">
      <formula>"Extremo"</formula>
    </cfRule>
    <cfRule type="cellIs" dxfId="82" priority="101" operator="equal">
      <formula>"Alto"</formula>
    </cfRule>
    <cfRule type="cellIs" dxfId="81" priority="102" operator="equal">
      <formula>"Moderado"</formula>
    </cfRule>
    <cfRule type="cellIs" dxfId="80" priority="103" operator="equal">
      <formula>"Bajo"</formula>
    </cfRule>
  </conditionalFormatting>
  <conditionalFormatting sqref="AA35:AA40">
    <cfRule type="cellIs" dxfId="79" priority="95" operator="equal">
      <formula>"Muy Alta"</formula>
    </cfRule>
    <cfRule type="cellIs" dxfId="78" priority="96" operator="equal">
      <formula>"Alta"</formula>
    </cfRule>
    <cfRule type="cellIs" dxfId="77" priority="97" operator="equal">
      <formula>"Media"</formula>
    </cfRule>
    <cfRule type="cellIs" dxfId="76" priority="98" operator="equal">
      <formula>"Baja"</formula>
    </cfRule>
    <cfRule type="cellIs" dxfId="75" priority="99" operator="equal">
      <formula>"Muy Baja"</formula>
    </cfRule>
  </conditionalFormatting>
  <conditionalFormatting sqref="AC35:AC40">
    <cfRule type="cellIs" dxfId="74" priority="90" operator="equal">
      <formula>"Catastrófico"</formula>
    </cfRule>
    <cfRule type="cellIs" dxfId="73" priority="91" operator="equal">
      <formula>"Mayor"</formula>
    </cfRule>
    <cfRule type="cellIs" dxfId="72" priority="92" operator="equal">
      <formula>"Moderado"</formula>
    </cfRule>
    <cfRule type="cellIs" dxfId="71" priority="93" operator="equal">
      <formula>"Menor"</formula>
    </cfRule>
    <cfRule type="cellIs" dxfId="70" priority="94" operator="equal">
      <formula>"Leve"</formula>
    </cfRule>
  </conditionalFormatting>
  <conditionalFormatting sqref="AE35:AE40">
    <cfRule type="cellIs" dxfId="69" priority="86" operator="equal">
      <formula>"Extremo"</formula>
    </cfRule>
    <cfRule type="cellIs" dxfId="68" priority="87" operator="equal">
      <formula>"Alto"</formula>
    </cfRule>
    <cfRule type="cellIs" dxfId="67" priority="88" operator="equal">
      <formula>"Moderado"</formula>
    </cfRule>
    <cfRule type="cellIs" dxfId="66" priority="89" operator="equal">
      <formula>"Bajo"</formula>
    </cfRule>
  </conditionalFormatting>
  <conditionalFormatting sqref="J41">
    <cfRule type="cellIs" dxfId="65" priority="81" operator="equal">
      <formula>"Muy Alta"</formula>
    </cfRule>
    <cfRule type="cellIs" dxfId="64" priority="82" operator="equal">
      <formula>"Alta"</formula>
    </cfRule>
    <cfRule type="cellIs" dxfId="63" priority="83" operator="equal">
      <formula>"Media"</formula>
    </cfRule>
    <cfRule type="cellIs" dxfId="62" priority="84" operator="equal">
      <formula>"Baja"</formula>
    </cfRule>
    <cfRule type="cellIs" dxfId="61" priority="85" operator="equal">
      <formula>"Muy Baja"</formula>
    </cfRule>
  </conditionalFormatting>
  <conditionalFormatting sqref="P41">
    <cfRule type="cellIs" dxfId="60" priority="72" operator="equal">
      <formula>"Extremo"</formula>
    </cfRule>
    <cfRule type="cellIs" dxfId="59" priority="73" operator="equal">
      <formula>"Alto"</formula>
    </cfRule>
    <cfRule type="cellIs" dxfId="58" priority="74" operator="equal">
      <formula>"Moderado"</formula>
    </cfRule>
    <cfRule type="cellIs" dxfId="57" priority="75" operator="equal">
      <formula>"Bajo"</formula>
    </cfRule>
  </conditionalFormatting>
  <conditionalFormatting sqref="AA41:AA46">
    <cfRule type="cellIs" dxfId="56" priority="67" operator="equal">
      <formula>"Muy Alta"</formula>
    </cfRule>
    <cfRule type="cellIs" dxfId="55" priority="68" operator="equal">
      <formula>"Alta"</formula>
    </cfRule>
    <cfRule type="cellIs" dxfId="54" priority="69" operator="equal">
      <formula>"Media"</formula>
    </cfRule>
    <cfRule type="cellIs" dxfId="53" priority="70" operator="equal">
      <formula>"Baja"</formula>
    </cfRule>
    <cfRule type="cellIs" dxfId="52" priority="71" operator="equal">
      <formula>"Muy Baja"</formula>
    </cfRule>
  </conditionalFormatting>
  <conditionalFormatting sqref="AC41:AC46">
    <cfRule type="cellIs" dxfId="51" priority="62" operator="equal">
      <formula>"Catastrófico"</formula>
    </cfRule>
    <cfRule type="cellIs" dxfId="50" priority="63" operator="equal">
      <formula>"Mayor"</formula>
    </cfRule>
    <cfRule type="cellIs" dxfId="49" priority="64" operator="equal">
      <formula>"Moderado"</formula>
    </cfRule>
    <cfRule type="cellIs" dxfId="48" priority="65" operator="equal">
      <formula>"Menor"</formula>
    </cfRule>
    <cfRule type="cellIs" dxfId="47" priority="66" operator="equal">
      <formula>"Leve"</formula>
    </cfRule>
  </conditionalFormatting>
  <conditionalFormatting sqref="AE41:AE46">
    <cfRule type="cellIs" dxfId="46" priority="58" operator="equal">
      <formula>"Extremo"</formula>
    </cfRule>
    <cfRule type="cellIs" dxfId="45" priority="59" operator="equal">
      <formula>"Alto"</formula>
    </cfRule>
    <cfRule type="cellIs" dxfId="44" priority="60" operator="equal">
      <formula>"Moderado"</formula>
    </cfRule>
    <cfRule type="cellIs" dxfId="43" priority="61" operator="equal">
      <formula>"Bajo"</formula>
    </cfRule>
  </conditionalFormatting>
  <conditionalFormatting sqref="P47">
    <cfRule type="cellIs" dxfId="42" priority="44" operator="equal">
      <formula>"Extremo"</formula>
    </cfRule>
    <cfRule type="cellIs" dxfId="41" priority="45" operator="equal">
      <formula>"Alto"</formula>
    </cfRule>
    <cfRule type="cellIs" dxfId="40" priority="46" operator="equal">
      <formula>"Moderado"</formula>
    </cfRule>
    <cfRule type="cellIs" dxfId="39" priority="47" operator="equal">
      <formula>"Bajo"</formula>
    </cfRule>
  </conditionalFormatting>
  <conditionalFormatting sqref="AA47:AA52">
    <cfRule type="cellIs" dxfId="38" priority="39" operator="equal">
      <formula>"Muy Alta"</formula>
    </cfRule>
    <cfRule type="cellIs" dxfId="37" priority="40" operator="equal">
      <formula>"Alta"</formula>
    </cfRule>
    <cfRule type="cellIs" dxfId="36" priority="41" operator="equal">
      <formula>"Media"</formula>
    </cfRule>
    <cfRule type="cellIs" dxfId="35" priority="42" operator="equal">
      <formula>"Baja"</formula>
    </cfRule>
    <cfRule type="cellIs" dxfId="34" priority="43" operator="equal">
      <formula>"Muy Baja"</formula>
    </cfRule>
  </conditionalFormatting>
  <conditionalFormatting sqref="AC47:AC52">
    <cfRule type="cellIs" dxfId="33" priority="34" operator="equal">
      <formula>"Catastrófico"</formula>
    </cfRule>
    <cfRule type="cellIs" dxfId="32" priority="35" operator="equal">
      <formula>"Mayor"</formula>
    </cfRule>
    <cfRule type="cellIs" dxfId="31" priority="36" operator="equal">
      <formula>"Moderado"</formula>
    </cfRule>
    <cfRule type="cellIs" dxfId="30" priority="37" operator="equal">
      <formula>"Menor"</formula>
    </cfRule>
    <cfRule type="cellIs" dxfId="29" priority="38" operator="equal">
      <formula>"Leve"</formula>
    </cfRule>
  </conditionalFormatting>
  <conditionalFormatting sqref="AE47:AE52">
    <cfRule type="cellIs" dxfId="28" priority="30" operator="equal">
      <formula>"Extremo"</formula>
    </cfRule>
    <cfRule type="cellIs" dxfId="27" priority="31" operator="equal">
      <formula>"Alto"</formula>
    </cfRule>
    <cfRule type="cellIs" dxfId="26" priority="32" operator="equal">
      <formula>"Moderado"</formula>
    </cfRule>
    <cfRule type="cellIs" dxfId="25" priority="33" operator="equal">
      <formula>"Bajo"</formula>
    </cfRule>
  </conditionalFormatting>
  <conditionalFormatting sqref="J53">
    <cfRule type="cellIs" dxfId="24" priority="25" operator="equal">
      <formula>"Muy Alta"</formula>
    </cfRule>
    <cfRule type="cellIs" dxfId="23" priority="26" operator="equal">
      <formula>"Alta"</formula>
    </cfRule>
    <cfRule type="cellIs" dxfId="22" priority="27" operator="equal">
      <formula>"Media"</formula>
    </cfRule>
    <cfRule type="cellIs" dxfId="21" priority="28" operator="equal">
      <formula>"Baja"</formula>
    </cfRule>
    <cfRule type="cellIs" dxfId="20" priority="29" operator="equal">
      <formula>"Muy Baja"</formula>
    </cfRule>
  </conditionalFormatting>
  <conditionalFormatting sqref="P53">
    <cfRule type="cellIs" dxfId="19" priority="16" operator="equal">
      <formula>"Extremo"</formula>
    </cfRule>
    <cfRule type="cellIs" dxfId="18" priority="17" operator="equal">
      <formula>"Alto"</formula>
    </cfRule>
    <cfRule type="cellIs" dxfId="17" priority="18" operator="equal">
      <formula>"Moderado"</formula>
    </cfRule>
    <cfRule type="cellIs" dxfId="16" priority="19" operator="equal">
      <formula>"Bajo"</formula>
    </cfRule>
  </conditionalFormatting>
  <conditionalFormatting sqref="AA53:AA58">
    <cfRule type="cellIs" dxfId="15" priority="11" operator="equal">
      <formula>"Muy Alta"</formula>
    </cfRule>
    <cfRule type="cellIs" dxfId="14" priority="12" operator="equal">
      <formula>"Alta"</formula>
    </cfRule>
    <cfRule type="cellIs" dxfId="13" priority="13" operator="equal">
      <formula>"Media"</formula>
    </cfRule>
    <cfRule type="cellIs" dxfId="12" priority="14" operator="equal">
      <formula>"Baja"</formula>
    </cfRule>
    <cfRule type="cellIs" dxfId="11" priority="15" operator="equal">
      <formula>"Muy Baja"</formula>
    </cfRule>
  </conditionalFormatting>
  <conditionalFormatting sqref="AC53:AC58">
    <cfRule type="cellIs" dxfId="10" priority="6" operator="equal">
      <formula>"Catastrófico"</formula>
    </cfRule>
    <cfRule type="cellIs" dxfId="9" priority="7" operator="equal">
      <formula>"Mayor"</formula>
    </cfRule>
    <cfRule type="cellIs" dxfId="8" priority="8" operator="equal">
      <formula>"Moderado"</formula>
    </cfRule>
    <cfRule type="cellIs" dxfId="7" priority="9" operator="equal">
      <formula>"Menor"</formula>
    </cfRule>
    <cfRule type="cellIs" dxfId="6" priority="10" operator="equal">
      <formula>"Leve"</formula>
    </cfRule>
  </conditionalFormatting>
  <conditionalFormatting sqref="AE53:AE58">
    <cfRule type="cellIs" dxfId="5" priority="2" operator="equal">
      <formula>"Extremo"</formula>
    </cfRule>
    <cfRule type="cellIs" dxfId="4" priority="3" operator="equal">
      <formula>"Alto"</formula>
    </cfRule>
    <cfRule type="cellIs" dxfId="3" priority="4" operator="equal">
      <formula>"Moderado"</formula>
    </cfRule>
    <cfRule type="cellIs" dxfId="2" priority="5" operator="equal">
      <formula>"Bajo"</formula>
    </cfRule>
  </conditionalFormatting>
  <conditionalFormatting sqref="M11:M58">
    <cfRule type="containsText" dxfId="1" priority="1" operator="containsText" text="❌">
      <formula>NOT(ISERROR(SEARCH("❌",M11)))</formula>
    </cfRule>
  </conditionalFormatting>
  <pageMargins left="0.7" right="0.7" top="0.75" bottom="0.75" header="0.3" footer="0.3"/>
  <pageSetup orientation="portrait" r:id="rId1"/>
  <ignoredErrors>
    <ignoredError sqref="AD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Procesos!$D$16:$D$22</xm:f>
          </x14:formula1>
          <xm:sqref>B11:C11 B17:C17 B23:C23 B29:C29 B35:C35 B41:C41 B47:C47 B53:C53</xm:sqref>
        </x14:dataValidation>
        <x14:dataValidation type="list" allowBlank="1" showInputMessage="1" showErrorMessage="1">
          <x14:formula1>
            <xm:f>Procesos!$E$2:$E$24</xm:f>
          </x14:formula1>
          <xm:sqref>C5:P5</xm:sqref>
        </x14:dataValidation>
        <x14:dataValidation type="list" allowBlank="1" showInputMessage="1" showErrorMessage="1">
          <x14:formula1>
            <xm:f>Procesos!$A$2:$A$17</xm:f>
          </x14:formula1>
          <xm:sqref>C4:P4</xm:sqref>
        </x14:dataValidation>
        <x14:dataValidation type="list" allowBlank="1" showInputMessage="1" showErrorMessage="1">
          <x14:formula1>
            <xm:f>'Tabla Valoración controles'!$D$4:$D$6</xm:f>
          </x14:formula1>
          <xm:sqref>T11:T58</xm:sqref>
        </x14:dataValidation>
        <x14:dataValidation type="list" allowBlank="1" showInputMessage="1" showErrorMessage="1">
          <x14:formula1>
            <xm:f>'Tabla Valoración controles'!$D$7:$D$8</xm:f>
          </x14:formula1>
          <xm:sqref>U11:U58</xm:sqref>
        </x14:dataValidation>
        <x14:dataValidation type="list" allowBlank="1" showInputMessage="1" showErrorMessage="1">
          <x14:formula1>
            <xm:f>'Tabla Valoración controles'!$D$9:$D$10</xm:f>
          </x14:formula1>
          <xm:sqref>W11:W58</xm:sqref>
        </x14:dataValidation>
        <x14:dataValidation type="list" allowBlank="1" showInputMessage="1" showErrorMessage="1">
          <x14:formula1>
            <xm:f>'Tabla Valoración controles'!$D$11:$D$12</xm:f>
          </x14:formula1>
          <xm:sqref>X11:X58</xm:sqref>
        </x14:dataValidation>
        <x14:dataValidation type="list" allowBlank="1" showInputMessage="1" showErrorMessage="1">
          <x14:formula1>
            <xm:f>'Tabla Valoración controles'!$D$13:$D$14</xm:f>
          </x14:formula1>
          <xm:sqref>Y11:Y58</xm:sqref>
        </x14:dataValidation>
        <x14:dataValidation type="list" allowBlank="1" showInputMessage="1" showErrorMessage="1">
          <x14:formula1>
            <xm:f>'Opciones Tratamiento'!$E$2:$E$4</xm:f>
          </x14:formula1>
          <xm:sqref>C11:C58</xm:sqref>
        </x14:dataValidation>
        <x14:dataValidation type="list" allowBlank="1" showInputMessage="1" showErrorMessage="1">
          <x14:formula1>
            <xm:f>'Opciones Tratamiento'!$B$2:$B$5</xm:f>
          </x14:formula1>
          <xm:sqref>AF11:AF58</xm:sqref>
        </x14:dataValidation>
        <x14:dataValidation type="list" allowBlank="1" showInputMessage="1" showErrorMessage="1">
          <x14:formula1>
            <xm:f>'Tabla Impacto'!$F$210:$F$221</xm:f>
          </x14:formula1>
          <xm:sqref>L11:L58</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AG11:AG58</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AH11:AH58</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AI11:AI58</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AJ11:AJ58</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AK11:AK58</xm:sqref>
        </x14:dataValidation>
        <x14:dataValidation type="list" allowBlank="1" showInputMessage="1" showErrorMessage="1">
          <x14:formula1>
            <xm:f>'Tabla Impacto'!$D$229:$D$237</xm:f>
          </x14:formula1>
          <xm:sqref>F11:F40</xm:sqref>
        </x14:dataValidation>
        <x14:dataValidation type="list" allowBlank="1" showInputMessage="1" showErrorMessage="1">
          <x14:formula1>
            <xm:f>'Opciones Tratamiento'!$B$9:$B$11</xm:f>
          </x14:formula1>
          <xm:sqref>AL11:AL58</xm:sqref>
        </x14:dataValidation>
        <x14:dataValidation type="list" allowBlank="1" showInputMessage="1" showErrorMessage="1">
          <x14:formula1>
            <xm:f>'Opciones Tratamiento'!$B$13:$B$19</xm:f>
          </x14:formula1>
          <xm:sqref>H11:H58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J12" sqref="J12:K13"/>
    </sheetView>
  </sheetViews>
  <sheetFormatPr baseColWidth="10" defaultRowHeight="14.5" x14ac:dyDescent="0.35"/>
  <cols>
    <col min="2" max="39" width="5.7265625" customWidth="1"/>
    <col min="41" max="46" width="5.7265625" customWidth="1"/>
  </cols>
  <sheetData>
    <row r="1" spans="1:99" x14ac:dyDescent="0.3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35">
      <c r="A2" s="83"/>
      <c r="B2" s="256" t="s">
        <v>144</v>
      </c>
      <c r="C2" s="256"/>
      <c r="D2" s="256"/>
      <c r="E2" s="256"/>
      <c r="F2" s="256"/>
      <c r="G2" s="256"/>
      <c r="H2" s="256"/>
      <c r="I2" s="256"/>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35">
      <c r="A3" s="83"/>
      <c r="B3" s="256"/>
      <c r="C3" s="256"/>
      <c r="D3" s="256"/>
      <c r="E3" s="256"/>
      <c r="F3" s="256"/>
      <c r="G3" s="256"/>
      <c r="H3" s="256"/>
      <c r="I3" s="256"/>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35">
      <c r="A4" s="83"/>
      <c r="B4" s="256"/>
      <c r="C4" s="256"/>
      <c r="D4" s="256"/>
      <c r="E4" s="256"/>
      <c r="F4" s="256"/>
      <c r="G4" s="256"/>
      <c r="H4" s="256"/>
      <c r="I4" s="256"/>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35">
      <c r="A6" s="83"/>
      <c r="B6" s="304" t="s">
        <v>3</v>
      </c>
      <c r="C6" s="304"/>
      <c r="D6" s="305"/>
      <c r="E6" s="294" t="s">
        <v>108</v>
      </c>
      <c r="F6" s="295"/>
      <c r="G6" s="295"/>
      <c r="H6" s="295"/>
      <c r="I6" s="296"/>
      <c r="J6" s="290" t="str">
        <f ca="1">IF(AND('Mapa final'!$J$11="Muy Alta",'Mapa final'!$N$11="Leve"),CONCATENATE("R",'Mapa final'!$A$11),"")</f>
        <v/>
      </c>
      <c r="K6" s="291"/>
      <c r="L6" s="291" t="e">
        <f>IF(AND('Mapa final'!#REF!="Muy Alta",'Mapa final'!#REF!="Leve"),CONCATENATE("R",'Mapa final'!#REF!),"")</f>
        <v>#REF!</v>
      </c>
      <c r="M6" s="291"/>
      <c r="N6" s="291" t="e">
        <f>IF(AND('Mapa final'!#REF!="Muy Alta",'Mapa final'!#REF!="Leve"),CONCATENATE("R",'Mapa final'!#REF!),"")</f>
        <v>#REF!</v>
      </c>
      <c r="O6" s="292"/>
      <c r="P6" s="290" t="str">
        <f ca="1">IF(AND('Mapa final'!$J$11="Muy Alta",'Mapa final'!$N$11="Menor"),CONCATENATE("R",'Mapa final'!$A$11),"")</f>
        <v/>
      </c>
      <c r="Q6" s="291"/>
      <c r="R6" s="291" t="e">
        <f>IF(AND('Mapa final'!#REF!="Muy Alta",'Mapa final'!#REF!="Menor"),CONCATENATE("R",'Mapa final'!#REF!),"")</f>
        <v>#REF!</v>
      </c>
      <c r="S6" s="291"/>
      <c r="T6" s="291" t="e">
        <f>IF(AND('Mapa final'!#REF!="Muy Alta",'Mapa final'!#REF!="Menor"),CONCATENATE("R",'Mapa final'!#REF!),"")</f>
        <v>#REF!</v>
      </c>
      <c r="U6" s="292"/>
      <c r="V6" s="290" t="str">
        <f ca="1">IF(AND('Mapa final'!$J$11="Muy Alta",'Mapa final'!$N$11="Moderado"),CONCATENATE("R",'Mapa final'!$A$11),"")</f>
        <v/>
      </c>
      <c r="W6" s="291"/>
      <c r="X6" s="291" t="e">
        <f>IF(AND('Mapa final'!#REF!="Muy Alta",'Mapa final'!#REF!="Moderado"),CONCATENATE("R",'Mapa final'!#REF!),"")</f>
        <v>#REF!</v>
      </c>
      <c r="Y6" s="291"/>
      <c r="Z6" s="291" t="e">
        <f>IF(AND('Mapa final'!#REF!="Muy Alta",'Mapa final'!#REF!="Moderado"),CONCATENATE("R",'Mapa final'!#REF!),"")</f>
        <v>#REF!</v>
      </c>
      <c r="AA6" s="292"/>
      <c r="AB6" s="290" t="str">
        <f ca="1">IF(AND('Mapa final'!$J$11="Muy Alta",'Mapa final'!$N$11="Mayor"),CONCATENATE("R",'Mapa final'!$A$11),"")</f>
        <v/>
      </c>
      <c r="AC6" s="291"/>
      <c r="AD6" s="291" t="e">
        <f>IF(AND('Mapa final'!#REF!="Muy Alta",'Mapa final'!#REF!="Mayor"),CONCATENATE("R",'Mapa final'!#REF!),"")</f>
        <v>#REF!</v>
      </c>
      <c r="AE6" s="291"/>
      <c r="AF6" s="291" t="e">
        <f>IF(AND('Mapa final'!#REF!="Muy Alta",'Mapa final'!#REF!="Mayor"),CONCATENATE("R",'Mapa final'!#REF!),"")</f>
        <v>#REF!</v>
      </c>
      <c r="AG6" s="292"/>
      <c r="AH6" s="281" t="str">
        <f ca="1">IF(AND('Mapa final'!$J$11="Muy Alta",'Mapa final'!$N$11="Catastrófico"),CONCATENATE("R",'Mapa final'!$A$11),"")</f>
        <v/>
      </c>
      <c r="AI6" s="282"/>
      <c r="AJ6" s="282" t="e">
        <f>IF(AND('Mapa final'!#REF!="Muy Alta",'Mapa final'!#REF!="Catastrófico"),CONCATENATE("R",'Mapa final'!#REF!),"")</f>
        <v>#REF!</v>
      </c>
      <c r="AK6" s="282"/>
      <c r="AL6" s="282" t="e">
        <f>IF(AND('Mapa final'!#REF!="Muy Alta",'Mapa final'!#REF!="Catastrófico"),CONCATENATE("R",'Mapa final'!#REF!),"")</f>
        <v>#REF!</v>
      </c>
      <c r="AM6" s="283"/>
      <c r="AO6" s="306" t="s">
        <v>76</v>
      </c>
      <c r="AP6" s="307"/>
      <c r="AQ6" s="307"/>
      <c r="AR6" s="307"/>
      <c r="AS6" s="307"/>
      <c r="AT6" s="30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35">
      <c r="A7" s="83"/>
      <c r="B7" s="304"/>
      <c r="C7" s="304"/>
      <c r="D7" s="305"/>
      <c r="E7" s="297"/>
      <c r="F7" s="298"/>
      <c r="G7" s="298"/>
      <c r="H7" s="298"/>
      <c r="I7" s="299"/>
      <c r="J7" s="284"/>
      <c r="K7" s="285"/>
      <c r="L7" s="285"/>
      <c r="M7" s="285"/>
      <c r="N7" s="285"/>
      <c r="O7" s="286"/>
      <c r="P7" s="284"/>
      <c r="Q7" s="285"/>
      <c r="R7" s="285"/>
      <c r="S7" s="285"/>
      <c r="T7" s="285"/>
      <c r="U7" s="286"/>
      <c r="V7" s="284"/>
      <c r="W7" s="285"/>
      <c r="X7" s="285"/>
      <c r="Y7" s="285"/>
      <c r="Z7" s="285"/>
      <c r="AA7" s="286"/>
      <c r="AB7" s="284"/>
      <c r="AC7" s="285"/>
      <c r="AD7" s="285"/>
      <c r="AE7" s="285"/>
      <c r="AF7" s="285"/>
      <c r="AG7" s="286"/>
      <c r="AH7" s="275"/>
      <c r="AI7" s="276"/>
      <c r="AJ7" s="276"/>
      <c r="AK7" s="276"/>
      <c r="AL7" s="276"/>
      <c r="AM7" s="277"/>
      <c r="AN7" s="83"/>
      <c r="AO7" s="309"/>
      <c r="AP7" s="310"/>
      <c r="AQ7" s="310"/>
      <c r="AR7" s="310"/>
      <c r="AS7" s="310"/>
      <c r="AT7" s="31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35">
      <c r="A8" s="83"/>
      <c r="B8" s="304"/>
      <c r="C8" s="304"/>
      <c r="D8" s="305"/>
      <c r="E8" s="297"/>
      <c r="F8" s="298"/>
      <c r="G8" s="298"/>
      <c r="H8" s="298"/>
      <c r="I8" s="299"/>
      <c r="J8" s="284" t="str">
        <f ca="1">IF(AND('Mapa final'!$J$17="Muy Alta",'Mapa final'!$N$17="Leve"),CONCATENATE("R",'Mapa final'!$A$17),"")</f>
        <v/>
      </c>
      <c r="K8" s="285"/>
      <c r="L8" s="285" t="str">
        <f ca="1">IF(AND('Mapa final'!$J$23="Muy Alta",'Mapa final'!$N$23="Leve"),CONCATENATE("R",'Mapa final'!$A$23),"")</f>
        <v/>
      </c>
      <c r="M8" s="285"/>
      <c r="N8" s="285" t="str">
        <f ca="1">IF(AND('Mapa final'!$J$29="Muy Alta",'Mapa final'!$N$29="Leve"),CONCATENATE("R",'Mapa final'!$A$29),"")</f>
        <v/>
      </c>
      <c r="O8" s="286"/>
      <c r="P8" s="284" t="str">
        <f ca="1">IF(AND('Mapa final'!$J$17="Muy Alta",'Mapa final'!$N$17="Menor"),CONCATENATE("R",'Mapa final'!$A$17),"")</f>
        <v/>
      </c>
      <c r="Q8" s="285"/>
      <c r="R8" s="285" t="str">
        <f ca="1">IF(AND('Mapa final'!$J$23="Muy Alta",'Mapa final'!$N$23="Menor"),CONCATENATE("R",'Mapa final'!$A$23),"")</f>
        <v/>
      </c>
      <c r="S8" s="285"/>
      <c r="T8" s="285" t="str">
        <f ca="1">IF(AND('Mapa final'!$J$29="Muy Alta",'Mapa final'!$N$29="Menor"),CONCATENATE("R",'Mapa final'!$A$29),"")</f>
        <v/>
      </c>
      <c r="U8" s="286"/>
      <c r="V8" s="284" t="str">
        <f ca="1">IF(AND('Mapa final'!$J$17="Muy Alta",'Mapa final'!$N$17="Moderado"),CONCATENATE("R",'Mapa final'!$A$17),"")</f>
        <v/>
      </c>
      <c r="W8" s="285"/>
      <c r="X8" s="285" t="str">
        <f ca="1">IF(AND('Mapa final'!$J$23="Muy Alta",'Mapa final'!$N$23="Moderado"),CONCATENATE("R",'Mapa final'!$A$23),"")</f>
        <v/>
      </c>
      <c r="Y8" s="285"/>
      <c r="Z8" s="285" t="str">
        <f ca="1">IF(AND('Mapa final'!$J$29="Muy Alta",'Mapa final'!$N$29="Moderado"),CONCATENATE("R",'Mapa final'!$A$29),"")</f>
        <v/>
      </c>
      <c r="AA8" s="286"/>
      <c r="AB8" s="284" t="str">
        <f ca="1">IF(AND('Mapa final'!$J$17="Muy Alta",'Mapa final'!$N$17="Mayor"),CONCATENATE("R",'Mapa final'!$A$17),"")</f>
        <v/>
      </c>
      <c r="AC8" s="285"/>
      <c r="AD8" s="285" t="str">
        <f ca="1">IF(AND('Mapa final'!$J$23="Muy Alta",'Mapa final'!$N$23="Mayor"),CONCATENATE("R",'Mapa final'!$A$23),"")</f>
        <v/>
      </c>
      <c r="AE8" s="285"/>
      <c r="AF8" s="285" t="str">
        <f ca="1">IF(AND('Mapa final'!$J$29="Muy Alta",'Mapa final'!$N$29="Mayor"),CONCATENATE("R",'Mapa final'!$A$29),"")</f>
        <v/>
      </c>
      <c r="AG8" s="286"/>
      <c r="AH8" s="275" t="str">
        <f ca="1">IF(AND('Mapa final'!$J$17="Muy Alta",'Mapa final'!$N$17="Catastrófico"),CONCATENATE("R",'Mapa final'!$A$17),"")</f>
        <v/>
      </c>
      <c r="AI8" s="276"/>
      <c r="AJ8" s="276" t="str">
        <f ca="1">IF(AND('Mapa final'!$J$23="Muy Alta",'Mapa final'!$N$23="Catastrófico"),CONCATENATE("R",'Mapa final'!$A$23),"")</f>
        <v/>
      </c>
      <c r="AK8" s="276"/>
      <c r="AL8" s="276" t="str">
        <f ca="1">IF(AND('Mapa final'!$J$29="Muy Alta",'Mapa final'!$N$29="Catastrófico"),CONCATENATE("R",'Mapa final'!$A$29),"")</f>
        <v/>
      </c>
      <c r="AM8" s="277"/>
      <c r="AN8" s="83"/>
      <c r="AO8" s="309"/>
      <c r="AP8" s="310"/>
      <c r="AQ8" s="310"/>
      <c r="AR8" s="310"/>
      <c r="AS8" s="310"/>
      <c r="AT8" s="31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35">
      <c r="A9" s="83"/>
      <c r="B9" s="304"/>
      <c r="C9" s="304"/>
      <c r="D9" s="305"/>
      <c r="E9" s="297"/>
      <c r="F9" s="298"/>
      <c r="G9" s="298"/>
      <c r="H9" s="298"/>
      <c r="I9" s="299"/>
      <c r="J9" s="284"/>
      <c r="K9" s="285"/>
      <c r="L9" s="285"/>
      <c r="M9" s="285"/>
      <c r="N9" s="285"/>
      <c r="O9" s="286"/>
      <c r="P9" s="284"/>
      <c r="Q9" s="285"/>
      <c r="R9" s="285"/>
      <c r="S9" s="285"/>
      <c r="T9" s="285"/>
      <c r="U9" s="286"/>
      <c r="V9" s="284"/>
      <c r="W9" s="285"/>
      <c r="X9" s="285"/>
      <c r="Y9" s="285"/>
      <c r="Z9" s="285"/>
      <c r="AA9" s="286"/>
      <c r="AB9" s="284"/>
      <c r="AC9" s="285"/>
      <c r="AD9" s="285"/>
      <c r="AE9" s="285"/>
      <c r="AF9" s="285"/>
      <c r="AG9" s="286"/>
      <c r="AH9" s="275"/>
      <c r="AI9" s="276"/>
      <c r="AJ9" s="276"/>
      <c r="AK9" s="276"/>
      <c r="AL9" s="276"/>
      <c r="AM9" s="277"/>
      <c r="AN9" s="83"/>
      <c r="AO9" s="309"/>
      <c r="AP9" s="310"/>
      <c r="AQ9" s="310"/>
      <c r="AR9" s="310"/>
      <c r="AS9" s="310"/>
      <c r="AT9" s="31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35">
      <c r="A10" s="83"/>
      <c r="B10" s="304"/>
      <c r="C10" s="304"/>
      <c r="D10" s="305"/>
      <c r="E10" s="297"/>
      <c r="F10" s="298"/>
      <c r="G10" s="298"/>
      <c r="H10" s="298"/>
      <c r="I10" s="299"/>
      <c r="J10" s="284" t="str">
        <f ca="1">IF(AND('Mapa final'!$J$35="Muy Alta",'Mapa final'!$N$35="Leve"),CONCATENATE("R",'Mapa final'!$A$35),"")</f>
        <v/>
      </c>
      <c r="K10" s="285"/>
      <c r="L10" s="285" t="str">
        <f ca="1">IF(AND('Mapa final'!$J$41="Muy Alta",'Mapa final'!$N$41="Leve"),CONCATENATE("R",'Mapa final'!$A$41),"")</f>
        <v/>
      </c>
      <c r="M10" s="285"/>
      <c r="N10" s="285" t="str">
        <f ca="1">IF(AND('Mapa final'!$J$47="Muy Alta",'Mapa final'!$N$47="Leve"),CONCATENATE("R",'Mapa final'!$A$47),"")</f>
        <v/>
      </c>
      <c r="O10" s="286"/>
      <c r="P10" s="284" t="str">
        <f ca="1">IF(AND('Mapa final'!$J$35="Muy Alta",'Mapa final'!$N$35="Menor"),CONCATENATE("R",'Mapa final'!$A$35),"")</f>
        <v/>
      </c>
      <c r="Q10" s="285"/>
      <c r="R10" s="285" t="str">
        <f ca="1">IF(AND('Mapa final'!$J$41="Muy Alta",'Mapa final'!$N$41="Menor"),CONCATENATE("R",'Mapa final'!$A$41),"")</f>
        <v/>
      </c>
      <c r="S10" s="285"/>
      <c r="T10" s="285" t="str">
        <f ca="1">IF(AND('Mapa final'!$J$47="Muy Alta",'Mapa final'!$N$47="Menor"),CONCATENATE("R",'Mapa final'!$A$47),"")</f>
        <v/>
      </c>
      <c r="U10" s="286"/>
      <c r="V10" s="284" t="str">
        <f ca="1">IF(AND('Mapa final'!$J$35="Muy Alta",'Mapa final'!$N$35="Moderado"),CONCATENATE("R",'Mapa final'!$A$35),"")</f>
        <v/>
      </c>
      <c r="W10" s="285"/>
      <c r="X10" s="285" t="str">
        <f ca="1">IF(AND('Mapa final'!$J$41="Muy Alta",'Mapa final'!$N$41="Moderado"),CONCATENATE("R",'Mapa final'!$A$41),"")</f>
        <v/>
      </c>
      <c r="Y10" s="285"/>
      <c r="Z10" s="285" t="str">
        <f ca="1">IF(AND('Mapa final'!$J$47="Muy Alta",'Mapa final'!$N$47="Moderado"),CONCATENATE("R",'Mapa final'!$A$47),"")</f>
        <v/>
      </c>
      <c r="AA10" s="286"/>
      <c r="AB10" s="284" t="str">
        <f ca="1">IF(AND('Mapa final'!$J$35="Muy Alta",'Mapa final'!$N$35="Mayor"),CONCATENATE("R",'Mapa final'!$A$35),"")</f>
        <v/>
      </c>
      <c r="AC10" s="285"/>
      <c r="AD10" s="285" t="str">
        <f ca="1">IF(AND('Mapa final'!$J$41="Muy Alta",'Mapa final'!$N$41="Mayor"),CONCATENATE("R",'Mapa final'!$A$41),"")</f>
        <v/>
      </c>
      <c r="AE10" s="285"/>
      <c r="AF10" s="285" t="str">
        <f ca="1">IF(AND('Mapa final'!$J$47="Muy Alta",'Mapa final'!$N$47="Mayor"),CONCATENATE("R",'Mapa final'!$A$47),"")</f>
        <v/>
      </c>
      <c r="AG10" s="286"/>
      <c r="AH10" s="275" t="str">
        <f ca="1">IF(AND('Mapa final'!$J$35="Muy Alta",'Mapa final'!$N$35="Catastrófico"),CONCATENATE("R",'Mapa final'!$A$35),"")</f>
        <v/>
      </c>
      <c r="AI10" s="276"/>
      <c r="AJ10" s="276" t="str">
        <f ca="1">IF(AND('Mapa final'!$J$41="Muy Alta",'Mapa final'!$N$41="Catastrófico"),CONCATENATE("R",'Mapa final'!$A$41),"")</f>
        <v/>
      </c>
      <c r="AK10" s="276"/>
      <c r="AL10" s="276" t="str">
        <f ca="1">IF(AND('Mapa final'!$J$47="Muy Alta",'Mapa final'!$N$47="Catastrófico"),CONCATENATE("R",'Mapa final'!$A$47),"")</f>
        <v/>
      </c>
      <c r="AM10" s="277"/>
      <c r="AN10" s="83"/>
      <c r="AO10" s="309"/>
      <c r="AP10" s="310"/>
      <c r="AQ10" s="310"/>
      <c r="AR10" s="310"/>
      <c r="AS10" s="310"/>
      <c r="AT10" s="31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35">
      <c r="A11" s="83"/>
      <c r="B11" s="304"/>
      <c r="C11" s="304"/>
      <c r="D11" s="305"/>
      <c r="E11" s="297"/>
      <c r="F11" s="298"/>
      <c r="G11" s="298"/>
      <c r="H11" s="298"/>
      <c r="I11" s="299"/>
      <c r="J11" s="284"/>
      <c r="K11" s="285"/>
      <c r="L11" s="285"/>
      <c r="M11" s="285"/>
      <c r="N11" s="285"/>
      <c r="O11" s="286"/>
      <c r="P11" s="284"/>
      <c r="Q11" s="285"/>
      <c r="R11" s="285"/>
      <c r="S11" s="285"/>
      <c r="T11" s="285"/>
      <c r="U11" s="286"/>
      <c r="V11" s="284"/>
      <c r="W11" s="285"/>
      <c r="X11" s="285"/>
      <c r="Y11" s="285"/>
      <c r="Z11" s="285"/>
      <c r="AA11" s="286"/>
      <c r="AB11" s="284"/>
      <c r="AC11" s="285"/>
      <c r="AD11" s="285"/>
      <c r="AE11" s="285"/>
      <c r="AF11" s="285"/>
      <c r="AG11" s="286"/>
      <c r="AH11" s="275"/>
      <c r="AI11" s="276"/>
      <c r="AJ11" s="276"/>
      <c r="AK11" s="276"/>
      <c r="AL11" s="276"/>
      <c r="AM11" s="277"/>
      <c r="AN11" s="83"/>
      <c r="AO11" s="309"/>
      <c r="AP11" s="310"/>
      <c r="AQ11" s="310"/>
      <c r="AR11" s="310"/>
      <c r="AS11" s="310"/>
      <c r="AT11" s="31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35">
      <c r="A12" s="83"/>
      <c r="B12" s="304"/>
      <c r="C12" s="304"/>
      <c r="D12" s="305"/>
      <c r="E12" s="297"/>
      <c r="F12" s="298"/>
      <c r="G12" s="298"/>
      <c r="H12" s="298"/>
      <c r="I12" s="299"/>
      <c r="J12" s="284" t="str">
        <f ca="1">IF(AND('Mapa final'!$J$53="Muy Alta",'Mapa final'!$N$53="Leve"),CONCATENATE("R",'Mapa final'!$A$53),"")</f>
        <v/>
      </c>
      <c r="K12" s="285"/>
      <c r="L12" s="285" t="str">
        <f>IF(AND('Mapa final'!$J$59="Muy Alta",'Mapa final'!$N$59="Leve"),CONCATENATE("R",'Mapa final'!$A$59),"")</f>
        <v/>
      </c>
      <c r="M12" s="285"/>
      <c r="N12" s="285" t="str">
        <f>IF(AND('Mapa final'!$J$65="Muy Alta",'Mapa final'!$N$65="Leve"),CONCATENATE("R",'Mapa final'!$A$65),"")</f>
        <v/>
      </c>
      <c r="O12" s="286"/>
      <c r="P12" s="284" t="str">
        <f ca="1">IF(AND('Mapa final'!$J$53="Muy Alta",'Mapa final'!$N$53="Menor"),CONCATENATE("R",'Mapa final'!$A$53),"")</f>
        <v/>
      </c>
      <c r="Q12" s="285"/>
      <c r="R12" s="285" t="str">
        <f>IF(AND('Mapa final'!$J$59="Muy Alta",'Mapa final'!$N$59="Menor"),CONCATENATE("R",'Mapa final'!$A$59),"")</f>
        <v/>
      </c>
      <c r="S12" s="285"/>
      <c r="T12" s="285" t="str">
        <f>IF(AND('Mapa final'!$J$65="Muy Alta",'Mapa final'!$N$65="Menor"),CONCATENATE("R",'Mapa final'!$A$65),"")</f>
        <v/>
      </c>
      <c r="U12" s="286"/>
      <c r="V12" s="284" t="str">
        <f ca="1">IF(AND('Mapa final'!$J$53="Muy Alta",'Mapa final'!$N$53="Moderado"),CONCATENATE("R",'Mapa final'!$A$53),"")</f>
        <v/>
      </c>
      <c r="W12" s="285"/>
      <c r="X12" s="285" t="str">
        <f>IF(AND('Mapa final'!$J$59="Muy Alta",'Mapa final'!$N$59="Moderado"),CONCATENATE("R",'Mapa final'!$A$59),"")</f>
        <v/>
      </c>
      <c r="Y12" s="285"/>
      <c r="Z12" s="285" t="str">
        <f>IF(AND('Mapa final'!$J$65="Muy Alta",'Mapa final'!$N$65="Moderado"),CONCATENATE("R",'Mapa final'!$A$65),"")</f>
        <v/>
      </c>
      <c r="AA12" s="286"/>
      <c r="AB12" s="284" t="str">
        <f ca="1">IF(AND('Mapa final'!$J$53="Muy Alta",'Mapa final'!$N$53="Mayor"),CONCATENATE("R",'Mapa final'!$A$53),"")</f>
        <v/>
      </c>
      <c r="AC12" s="285"/>
      <c r="AD12" s="285" t="str">
        <f>IF(AND('Mapa final'!$J$59="Muy Alta",'Mapa final'!$N$59="Mayor"),CONCATENATE("R",'Mapa final'!$A$59),"")</f>
        <v/>
      </c>
      <c r="AE12" s="285"/>
      <c r="AF12" s="285" t="str">
        <f>IF(AND('Mapa final'!$J$65="Muy Alta",'Mapa final'!$N$65="Mayor"),CONCATENATE("R",'Mapa final'!$A$65),"")</f>
        <v/>
      </c>
      <c r="AG12" s="286"/>
      <c r="AH12" s="275" t="str">
        <f ca="1">IF(AND('Mapa final'!$J$53="Muy Alta",'Mapa final'!$N$53="Catastrófico"),CONCATENATE("R",'Mapa final'!$A$53),"")</f>
        <v/>
      </c>
      <c r="AI12" s="276"/>
      <c r="AJ12" s="276" t="str">
        <f>IF(AND('Mapa final'!$J$59="Muy Alta",'Mapa final'!$N$59="Catastrófico"),CONCATENATE("R",'Mapa final'!$A$59),"")</f>
        <v/>
      </c>
      <c r="AK12" s="276"/>
      <c r="AL12" s="276" t="str">
        <f>IF(AND('Mapa final'!$J$65="Muy Alta",'Mapa final'!$N$65="Catastrófico"),CONCATENATE("R",'Mapa final'!$A$65),"")</f>
        <v/>
      </c>
      <c r="AM12" s="277"/>
      <c r="AN12" s="83"/>
      <c r="AO12" s="309"/>
      <c r="AP12" s="310"/>
      <c r="AQ12" s="310"/>
      <c r="AR12" s="310"/>
      <c r="AS12" s="310"/>
      <c r="AT12" s="31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4">
      <c r="A13" s="83"/>
      <c r="B13" s="304"/>
      <c r="C13" s="304"/>
      <c r="D13" s="305"/>
      <c r="E13" s="300"/>
      <c r="F13" s="301"/>
      <c r="G13" s="301"/>
      <c r="H13" s="301"/>
      <c r="I13" s="302"/>
      <c r="J13" s="284"/>
      <c r="K13" s="285"/>
      <c r="L13" s="285"/>
      <c r="M13" s="285"/>
      <c r="N13" s="285"/>
      <c r="O13" s="286"/>
      <c r="P13" s="284"/>
      <c r="Q13" s="285"/>
      <c r="R13" s="285"/>
      <c r="S13" s="285"/>
      <c r="T13" s="285"/>
      <c r="U13" s="286"/>
      <c r="V13" s="284"/>
      <c r="W13" s="285"/>
      <c r="X13" s="285"/>
      <c r="Y13" s="285"/>
      <c r="Z13" s="285"/>
      <c r="AA13" s="286"/>
      <c r="AB13" s="284"/>
      <c r="AC13" s="285"/>
      <c r="AD13" s="285"/>
      <c r="AE13" s="285"/>
      <c r="AF13" s="285"/>
      <c r="AG13" s="286"/>
      <c r="AH13" s="278"/>
      <c r="AI13" s="279"/>
      <c r="AJ13" s="279"/>
      <c r="AK13" s="279"/>
      <c r="AL13" s="279"/>
      <c r="AM13" s="280"/>
      <c r="AN13" s="83"/>
      <c r="AO13" s="312"/>
      <c r="AP13" s="313"/>
      <c r="AQ13" s="313"/>
      <c r="AR13" s="313"/>
      <c r="AS13" s="313"/>
      <c r="AT13" s="31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35">
      <c r="A14" s="83"/>
      <c r="B14" s="304"/>
      <c r="C14" s="304"/>
      <c r="D14" s="305"/>
      <c r="E14" s="294" t="s">
        <v>107</v>
      </c>
      <c r="F14" s="295"/>
      <c r="G14" s="295"/>
      <c r="H14" s="295"/>
      <c r="I14" s="295"/>
      <c r="J14" s="272" t="str">
        <f ca="1">IF(AND('Mapa final'!$J$11="Alta",'Mapa final'!$N$11="Leve"),CONCATENATE("R",'Mapa final'!$A$11),"")</f>
        <v/>
      </c>
      <c r="K14" s="273"/>
      <c r="L14" s="273" t="e">
        <f>IF(AND('Mapa final'!#REF!="Alta",'Mapa final'!#REF!="Leve"),CONCATENATE("R",'Mapa final'!#REF!),"")</f>
        <v>#REF!</v>
      </c>
      <c r="M14" s="273"/>
      <c r="N14" s="273" t="e">
        <f>IF(AND('Mapa final'!#REF!="Alta",'Mapa final'!#REF!="Leve"),CONCATENATE("R",'Mapa final'!#REF!),"")</f>
        <v>#REF!</v>
      </c>
      <c r="O14" s="274"/>
      <c r="P14" s="272" t="str">
        <f ca="1">IF(AND('Mapa final'!$J$11="Alta",'Mapa final'!$N$11="Menor"),CONCATENATE("R",'Mapa final'!$A$11),"")</f>
        <v/>
      </c>
      <c r="Q14" s="273"/>
      <c r="R14" s="273" t="e">
        <f>IF(AND('Mapa final'!#REF!="Alta",'Mapa final'!#REF!="Menor"),CONCATENATE("R",'Mapa final'!#REF!),"")</f>
        <v>#REF!</v>
      </c>
      <c r="S14" s="273"/>
      <c r="T14" s="273" t="e">
        <f>IF(AND('Mapa final'!#REF!="Alta",'Mapa final'!#REF!="Menor"),CONCATENATE("R",'Mapa final'!#REF!),"")</f>
        <v>#REF!</v>
      </c>
      <c r="U14" s="274"/>
      <c r="V14" s="290" t="str">
        <f ca="1">IF(AND('Mapa final'!$J$11="Alta",'Mapa final'!$N$11="Moderado"),CONCATENATE("R",'Mapa final'!$A$11),"")</f>
        <v/>
      </c>
      <c r="W14" s="291"/>
      <c r="X14" s="291" t="e">
        <f>IF(AND('Mapa final'!#REF!="Alta",'Mapa final'!#REF!="Moderado"),CONCATENATE("R",'Mapa final'!#REF!),"")</f>
        <v>#REF!</v>
      </c>
      <c r="Y14" s="291"/>
      <c r="Z14" s="291" t="e">
        <f>IF(AND('Mapa final'!#REF!="Alta",'Mapa final'!#REF!="Moderado"),CONCATENATE("R",'Mapa final'!#REF!),"")</f>
        <v>#REF!</v>
      </c>
      <c r="AA14" s="292"/>
      <c r="AB14" s="290" t="str">
        <f ca="1">IF(AND('Mapa final'!$J$11="Alta",'Mapa final'!$N$11="Mayor"),CONCATENATE("R",'Mapa final'!$A$11),"")</f>
        <v/>
      </c>
      <c r="AC14" s="291"/>
      <c r="AD14" s="291" t="e">
        <f>IF(AND('Mapa final'!#REF!="Alta",'Mapa final'!#REF!="Mayor"),CONCATENATE("R",'Mapa final'!#REF!),"")</f>
        <v>#REF!</v>
      </c>
      <c r="AE14" s="291"/>
      <c r="AF14" s="291" t="e">
        <f>IF(AND('Mapa final'!#REF!="Alta",'Mapa final'!#REF!="Mayor"),CONCATENATE("R",'Mapa final'!#REF!),"")</f>
        <v>#REF!</v>
      </c>
      <c r="AG14" s="292"/>
      <c r="AH14" s="281" t="str">
        <f ca="1">IF(AND('Mapa final'!$J$11="Alta",'Mapa final'!$N$11="Catastrófico"),CONCATENATE("R",'Mapa final'!$A$11),"")</f>
        <v/>
      </c>
      <c r="AI14" s="282"/>
      <c r="AJ14" s="282" t="e">
        <f>IF(AND('Mapa final'!#REF!="Alta",'Mapa final'!#REF!="Catastrófico"),CONCATENATE("R",'Mapa final'!#REF!),"")</f>
        <v>#REF!</v>
      </c>
      <c r="AK14" s="282"/>
      <c r="AL14" s="282" t="e">
        <f>IF(AND('Mapa final'!#REF!="Alta",'Mapa final'!#REF!="Catastrófico"),CONCATENATE("R",'Mapa final'!#REF!),"")</f>
        <v>#REF!</v>
      </c>
      <c r="AM14" s="283"/>
      <c r="AN14" s="83"/>
      <c r="AO14" s="315" t="s">
        <v>77</v>
      </c>
      <c r="AP14" s="316"/>
      <c r="AQ14" s="316"/>
      <c r="AR14" s="316"/>
      <c r="AS14" s="316"/>
      <c r="AT14" s="31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35">
      <c r="A15" s="83"/>
      <c r="B15" s="304"/>
      <c r="C15" s="304"/>
      <c r="D15" s="305"/>
      <c r="E15" s="297"/>
      <c r="F15" s="298"/>
      <c r="G15" s="298"/>
      <c r="H15" s="298"/>
      <c r="I15" s="298"/>
      <c r="J15" s="266"/>
      <c r="K15" s="267"/>
      <c r="L15" s="267"/>
      <c r="M15" s="267"/>
      <c r="N15" s="267"/>
      <c r="O15" s="268"/>
      <c r="P15" s="266"/>
      <c r="Q15" s="267"/>
      <c r="R15" s="267"/>
      <c r="S15" s="267"/>
      <c r="T15" s="267"/>
      <c r="U15" s="268"/>
      <c r="V15" s="284"/>
      <c r="W15" s="285"/>
      <c r="X15" s="285"/>
      <c r="Y15" s="285"/>
      <c r="Z15" s="285"/>
      <c r="AA15" s="286"/>
      <c r="AB15" s="284"/>
      <c r="AC15" s="285"/>
      <c r="AD15" s="285"/>
      <c r="AE15" s="285"/>
      <c r="AF15" s="285"/>
      <c r="AG15" s="286"/>
      <c r="AH15" s="275"/>
      <c r="AI15" s="276"/>
      <c r="AJ15" s="276"/>
      <c r="AK15" s="276"/>
      <c r="AL15" s="276"/>
      <c r="AM15" s="277"/>
      <c r="AN15" s="83"/>
      <c r="AO15" s="318"/>
      <c r="AP15" s="319"/>
      <c r="AQ15" s="319"/>
      <c r="AR15" s="319"/>
      <c r="AS15" s="319"/>
      <c r="AT15" s="32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35">
      <c r="A16" s="83"/>
      <c r="B16" s="304"/>
      <c r="C16" s="304"/>
      <c r="D16" s="305"/>
      <c r="E16" s="297"/>
      <c r="F16" s="298"/>
      <c r="G16" s="298"/>
      <c r="H16" s="298"/>
      <c r="I16" s="298"/>
      <c r="J16" s="266" t="str">
        <f ca="1">IF(AND('Mapa final'!$J$17="Alta",'Mapa final'!$N$17="Leve"),CONCATENATE("R",'Mapa final'!$A$17),"")</f>
        <v/>
      </c>
      <c r="K16" s="267"/>
      <c r="L16" s="267" t="str">
        <f ca="1">IF(AND('Mapa final'!$J$23="Alta",'Mapa final'!$N$23="Leve"),CONCATENATE("R",'Mapa final'!$A$23),"")</f>
        <v/>
      </c>
      <c r="M16" s="267"/>
      <c r="N16" s="267" t="str">
        <f ca="1">IF(AND('Mapa final'!$J$29="Alta",'Mapa final'!$N$29="Leve"),CONCATENATE("R",'Mapa final'!$A$29),"")</f>
        <v/>
      </c>
      <c r="O16" s="268"/>
      <c r="P16" s="266" t="str">
        <f ca="1">IF(AND('Mapa final'!$J$17="Alta",'Mapa final'!$N$17="Menor"),CONCATENATE("R",'Mapa final'!$A$17),"")</f>
        <v/>
      </c>
      <c r="Q16" s="267"/>
      <c r="R16" s="267" t="str">
        <f ca="1">IF(AND('Mapa final'!$J$23="Alta",'Mapa final'!$N$23="Menor"),CONCATENATE("R",'Mapa final'!$A$23),"")</f>
        <v/>
      </c>
      <c r="S16" s="267"/>
      <c r="T16" s="267" t="str">
        <f ca="1">IF(AND('Mapa final'!$J$29="Alta",'Mapa final'!$N$29="Menor"),CONCATENATE("R",'Mapa final'!$A$29),"")</f>
        <v/>
      </c>
      <c r="U16" s="268"/>
      <c r="V16" s="284" t="str">
        <f ca="1">IF(AND('Mapa final'!$J$17="Alta",'Mapa final'!$N$17="Moderado"),CONCATENATE("R",'Mapa final'!$A$17),"")</f>
        <v/>
      </c>
      <c r="W16" s="285"/>
      <c r="X16" s="285" t="str">
        <f ca="1">IF(AND('Mapa final'!$J$23="Alta",'Mapa final'!$N$23="Moderado"),CONCATENATE("R",'Mapa final'!$A$23),"")</f>
        <v/>
      </c>
      <c r="Y16" s="285"/>
      <c r="Z16" s="285" t="str">
        <f ca="1">IF(AND('Mapa final'!$J$29="Alta",'Mapa final'!$N$29="Moderado"),CONCATENATE("R",'Mapa final'!$A$29),"")</f>
        <v/>
      </c>
      <c r="AA16" s="286"/>
      <c r="AB16" s="284" t="str">
        <f ca="1">IF(AND('Mapa final'!$J$17="Alta",'Mapa final'!$N$17="Mayor"),CONCATENATE("R",'Mapa final'!$A$17),"")</f>
        <v/>
      </c>
      <c r="AC16" s="285"/>
      <c r="AD16" s="285" t="str">
        <f ca="1">IF(AND('Mapa final'!$J$23="Alta",'Mapa final'!$N$23="Mayor"),CONCATENATE("R",'Mapa final'!$A$23),"")</f>
        <v/>
      </c>
      <c r="AE16" s="285"/>
      <c r="AF16" s="285" t="str">
        <f ca="1">IF(AND('Mapa final'!$J$29="Alta",'Mapa final'!$N$29="Mayor"),CONCATENATE("R",'Mapa final'!$A$29),"")</f>
        <v/>
      </c>
      <c r="AG16" s="286"/>
      <c r="AH16" s="275" t="str">
        <f ca="1">IF(AND('Mapa final'!$J$17="Alta",'Mapa final'!$N$17="Catastrófico"),CONCATENATE("R",'Mapa final'!$A$17),"")</f>
        <v/>
      </c>
      <c r="AI16" s="276"/>
      <c r="AJ16" s="276" t="str">
        <f ca="1">IF(AND('Mapa final'!$J$23="Alta",'Mapa final'!$N$23="Catastrófico"),CONCATENATE("R",'Mapa final'!$A$23),"")</f>
        <v/>
      </c>
      <c r="AK16" s="276"/>
      <c r="AL16" s="276" t="str">
        <f ca="1">IF(AND('Mapa final'!$J$29="Alta",'Mapa final'!$N$29="Catastrófico"),CONCATENATE("R",'Mapa final'!$A$29),"")</f>
        <v/>
      </c>
      <c r="AM16" s="277"/>
      <c r="AN16" s="83"/>
      <c r="AO16" s="318"/>
      <c r="AP16" s="319"/>
      <c r="AQ16" s="319"/>
      <c r="AR16" s="319"/>
      <c r="AS16" s="319"/>
      <c r="AT16" s="32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35">
      <c r="A17" s="83"/>
      <c r="B17" s="304"/>
      <c r="C17" s="304"/>
      <c r="D17" s="305"/>
      <c r="E17" s="297"/>
      <c r="F17" s="298"/>
      <c r="G17" s="298"/>
      <c r="H17" s="298"/>
      <c r="I17" s="298"/>
      <c r="J17" s="266"/>
      <c r="K17" s="267"/>
      <c r="L17" s="267"/>
      <c r="M17" s="267"/>
      <c r="N17" s="267"/>
      <c r="O17" s="268"/>
      <c r="P17" s="266"/>
      <c r="Q17" s="267"/>
      <c r="R17" s="267"/>
      <c r="S17" s="267"/>
      <c r="T17" s="267"/>
      <c r="U17" s="268"/>
      <c r="V17" s="284"/>
      <c r="W17" s="285"/>
      <c r="X17" s="285"/>
      <c r="Y17" s="285"/>
      <c r="Z17" s="285"/>
      <c r="AA17" s="286"/>
      <c r="AB17" s="284"/>
      <c r="AC17" s="285"/>
      <c r="AD17" s="285"/>
      <c r="AE17" s="285"/>
      <c r="AF17" s="285"/>
      <c r="AG17" s="286"/>
      <c r="AH17" s="275"/>
      <c r="AI17" s="276"/>
      <c r="AJ17" s="276"/>
      <c r="AK17" s="276"/>
      <c r="AL17" s="276"/>
      <c r="AM17" s="277"/>
      <c r="AN17" s="83"/>
      <c r="AO17" s="318"/>
      <c r="AP17" s="319"/>
      <c r="AQ17" s="319"/>
      <c r="AR17" s="319"/>
      <c r="AS17" s="319"/>
      <c r="AT17" s="32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35">
      <c r="A18" s="83"/>
      <c r="B18" s="304"/>
      <c r="C18" s="304"/>
      <c r="D18" s="305"/>
      <c r="E18" s="297"/>
      <c r="F18" s="298"/>
      <c r="G18" s="298"/>
      <c r="H18" s="298"/>
      <c r="I18" s="298"/>
      <c r="J18" s="266" t="str">
        <f ca="1">IF(AND('Mapa final'!$J$35="Alta",'Mapa final'!$N$35="Leve"),CONCATENATE("R",'Mapa final'!$A$35),"")</f>
        <v/>
      </c>
      <c r="K18" s="267"/>
      <c r="L18" s="267" t="str">
        <f ca="1">IF(AND('Mapa final'!$J$41="Alta",'Mapa final'!$N$41="Leve"),CONCATENATE("R",'Mapa final'!$A$41),"")</f>
        <v/>
      </c>
      <c r="M18" s="267"/>
      <c r="N18" s="267" t="str">
        <f ca="1">IF(AND('Mapa final'!$J$47="Alta",'Mapa final'!$N$47="Leve"),CONCATENATE("R",'Mapa final'!$A$47),"")</f>
        <v/>
      </c>
      <c r="O18" s="268"/>
      <c r="P18" s="266" t="str">
        <f ca="1">IF(AND('Mapa final'!$J$35="Alta",'Mapa final'!$N$35="Menor"),CONCATENATE("R",'Mapa final'!$A$35),"")</f>
        <v/>
      </c>
      <c r="Q18" s="267"/>
      <c r="R18" s="267" t="str">
        <f ca="1">IF(AND('Mapa final'!$J$41="Alta",'Mapa final'!$N$41="Menor"),CONCATENATE("R",'Mapa final'!$A$41),"")</f>
        <v/>
      </c>
      <c r="S18" s="267"/>
      <c r="T18" s="267" t="str">
        <f ca="1">IF(AND('Mapa final'!$J$47="Alta",'Mapa final'!$N$47="Menor"),CONCATENATE("R",'Mapa final'!$A$47),"")</f>
        <v/>
      </c>
      <c r="U18" s="268"/>
      <c r="V18" s="284" t="str">
        <f ca="1">IF(AND('Mapa final'!$J$35="Alta",'Mapa final'!$N$35="Moderado"),CONCATENATE("R",'Mapa final'!$A$35),"")</f>
        <v/>
      </c>
      <c r="W18" s="285"/>
      <c r="X18" s="285" t="str">
        <f ca="1">IF(AND('Mapa final'!$J$41="Alta",'Mapa final'!$N$41="Moderado"),CONCATENATE("R",'Mapa final'!$A$41),"")</f>
        <v/>
      </c>
      <c r="Y18" s="285"/>
      <c r="Z18" s="285" t="str">
        <f ca="1">IF(AND('Mapa final'!$J$47="Alta",'Mapa final'!$N$47="Moderado"),CONCATENATE("R",'Mapa final'!$A$47),"")</f>
        <v/>
      </c>
      <c r="AA18" s="286"/>
      <c r="AB18" s="284" t="str">
        <f ca="1">IF(AND('Mapa final'!$J$35="Alta",'Mapa final'!$N$35="Mayor"),CONCATENATE("R",'Mapa final'!$A$35),"")</f>
        <v/>
      </c>
      <c r="AC18" s="285"/>
      <c r="AD18" s="285" t="str">
        <f ca="1">IF(AND('Mapa final'!$J$41="Alta",'Mapa final'!$N$41="Mayor"),CONCATENATE("R",'Mapa final'!$A$41),"")</f>
        <v/>
      </c>
      <c r="AE18" s="285"/>
      <c r="AF18" s="285" t="str">
        <f ca="1">IF(AND('Mapa final'!$J$47="Alta",'Mapa final'!$N$47="Mayor"),CONCATENATE("R",'Mapa final'!$A$47),"")</f>
        <v/>
      </c>
      <c r="AG18" s="286"/>
      <c r="AH18" s="275" t="str">
        <f ca="1">IF(AND('Mapa final'!$J$35="Alta",'Mapa final'!$N$35="Catastrófico"),CONCATENATE("R",'Mapa final'!$A$35),"")</f>
        <v/>
      </c>
      <c r="AI18" s="276"/>
      <c r="AJ18" s="276" t="str">
        <f ca="1">IF(AND('Mapa final'!$J$41="Alta",'Mapa final'!$N$41="Catastrófico"),CONCATENATE("R",'Mapa final'!$A$41),"")</f>
        <v/>
      </c>
      <c r="AK18" s="276"/>
      <c r="AL18" s="276" t="str">
        <f ca="1">IF(AND('Mapa final'!$J$47="Alta",'Mapa final'!$N$47="Catastrófico"),CONCATENATE("R",'Mapa final'!$A$47),"")</f>
        <v/>
      </c>
      <c r="AM18" s="277"/>
      <c r="AN18" s="83"/>
      <c r="AO18" s="318"/>
      <c r="AP18" s="319"/>
      <c r="AQ18" s="319"/>
      <c r="AR18" s="319"/>
      <c r="AS18" s="319"/>
      <c r="AT18" s="32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35">
      <c r="A19" s="83"/>
      <c r="B19" s="304"/>
      <c r="C19" s="304"/>
      <c r="D19" s="305"/>
      <c r="E19" s="297"/>
      <c r="F19" s="298"/>
      <c r="G19" s="298"/>
      <c r="H19" s="298"/>
      <c r="I19" s="298"/>
      <c r="J19" s="266"/>
      <c r="K19" s="267"/>
      <c r="L19" s="267"/>
      <c r="M19" s="267"/>
      <c r="N19" s="267"/>
      <c r="O19" s="268"/>
      <c r="P19" s="266"/>
      <c r="Q19" s="267"/>
      <c r="R19" s="267"/>
      <c r="S19" s="267"/>
      <c r="T19" s="267"/>
      <c r="U19" s="268"/>
      <c r="V19" s="284"/>
      <c r="W19" s="285"/>
      <c r="X19" s="285"/>
      <c r="Y19" s="285"/>
      <c r="Z19" s="285"/>
      <c r="AA19" s="286"/>
      <c r="AB19" s="284"/>
      <c r="AC19" s="285"/>
      <c r="AD19" s="285"/>
      <c r="AE19" s="285"/>
      <c r="AF19" s="285"/>
      <c r="AG19" s="286"/>
      <c r="AH19" s="275"/>
      <c r="AI19" s="276"/>
      <c r="AJ19" s="276"/>
      <c r="AK19" s="276"/>
      <c r="AL19" s="276"/>
      <c r="AM19" s="277"/>
      <c r="AN19" s="83"/>
      <c r="AO19" s="318"/>
      <c r="AP19" s="319"/>
      <c r="AQ19" s="319"/>
      <c r="AR19" s="319"/>
      <c r="AS19" s="319"/>
      <c r="AT19" s="32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35">
      <c r="A20" s="83"/>
      <c r="B20" s="304"/>
      <c r="C20" s="304"/>
      <c r="D20" s="305"/>
      <c r="E20" s="297"/>
      <c r="F20" s="298"/>
      <c r="G20" s="298"/>
      <c r="H20" s="298"/>
      <c r="I20" s="298"/>
      <c r="J20" s="266" t="str">
        <f ca="1">IF(AND('Mapa final'!$J$53="Alta",'Mapa final'!$N$53="Leve"),CONCATENATE("R",'Mapa final'!$A$53),"")</f>
        <v/>
      </c>
      <c r="K20" s="267"/>
      <c r="L20" s="267" t="str">
        <f>IF(AND('Mapa final'!$J$59="Alta",'Mapa final'!$N$59="Leve"),CONCATENATE("R",'Mapa final'!$A$59),"")</f>
        <v/>
      </c>
      <c r="M20" s="267"/>
      <c r="N20" s="267" t="str">
        <f>IF(AND('Mapa final'!$J$65="Alta",'Mapa final'!$N$65="Leve"),CONCATENATE("R",'Mapa final'!$A$65),"")</f>
        <v/>
      </c>
      <c r="O20" s="268"/>
      <c r="P20" s="266" t="str">
        <f ca="1">IF(AND('Mapa final'!$J$53="Alta",'Mapa final'!$N$53="Menor"),CONCATENATE("R",'Mapa final'!$A$53),"")</f>
        <v/>
      </c>
      <c r="Q20" s="267"/>
      <c r="R20" s="267" t="str">
        <f>IF(AND('Mapa final'!$J$59="Alta",'Mapa final'!$N$59="Menor"),CONCATENATE("R",'Mapa final'!$A$59),"")</f>
        <v/>
      </c>
      <c r="S20" s="267"/>
      <c r="T20" s="267" t="str">
        <f>IF(AND('Mapa final'!$J$65="Alta",'Mapa final'!$N$65="Menor"),CONCATENATE("R",'Mapa final'!$A$65),"")</f>
        <v/>
      </c>
      <c r="U20" s="268"/>
      <c r="V20" s="284" t="str">
        <f ca="1">IF(AND('Mapa final'!$J$53="Alta",'Mapa final'!$N$53="Moderado"),CONCATENATE("R",'Mapa final'!$A$53),"")</f>
        <v/>
      </c>
      <c r="W20" s="285"/>
      <c r="X20" s="285" t="str">
        <f>IF(AND('Mapa final'!$J$59="Alta",'Mapa final'!$N$59="Moderado"),CONCATENATE("R",'Mapa final'!$A$59),"")</f>
        <v/>
      </c>
      <c r="Y20" s="285"/>
      <c r="Z20" s="285" t="str">
        <f>IF(AND('Mapa final'!$J$65="Alta",'Mapa final'!$N$65="Moderado"),CONCATENATE("R",'Mapa final'!$A$65),"")</f>
        <v/>
      </c>
      <c r="AA20" s="286"/>
      <c r="AB20" s="284" t="str">
        <f ca="1">IF(AND('Mapa final'!$J$53="Alta",'Mapa final'!$N$53="Mayor"),CONCATENATE("R",'Mapa final'!$A$53),"")</f>
        <v/>
      </c>
      <c r="AC20" s="285"/>
      <c r="AD20" s="285" t="str">
        <f>IF(AND('Mapa final'!$J$59="Alta",'Mapa final'!$N$59="Mayor"),CONCATENATE("R",'Mapa final'!$A$59),"")</f>
        <v/>
      </c>
      <c r="AE20" s="285"/>
      <c r="AF20" s="285" t="str">
        <f>IF(AND('Mapa final'!$J$65="Alta",'Mapa final'!$N$65="Mayor"),CONCATENATE("R",'Mapa final'!$A$65),"")</f>
        <v/>
      </c>
      <c r="AG20" s="286"/>
      <c r="AH20" s="275" t="str">
        <f ca="1">IF(AND('Mapa final'!$J$53="Alta",'Mapa final'!$N$53="Catastrófico"),CONCATENATE("R",'Mapa final'!$A$53),"")</f>
        <v/>
      </c>
      <c r="AI20" s="276"/>
      <c r="AJ20" s="276" t="str">
        <f>IF(AND('Mapa final'!$J$59="Alta",'Mapa final'!$N$59="Catastrófico"),CONCATENATE("R",'Mapa final'!$A$59),"")</f>
        <v/>
      </c>
      <c r="AK20" s="276"/>
      <c r="AL20" s="276" t="str">
        <f>IF(AND('Mapa final'!$J$65="Alta",'Mapa final'!$N$65="Catastrófico"),CONCATENATE("R",'Mapa final'!$A$65),"")</f>
        <v/>
      </c>
      <c r="AM20" s="277"/>
      <c r="AN20" s="83"/>
      <c r="AO20" s="318"/>
      <c r="AP20" s="319"/>
      <c r="AQ20" s="319"/>
      <c r="AR20" s="319"/>
      <c r="AS20" s="319"/>
      <c r="AT20" s="32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4">
      <c r="A21" s="83"/>
      <c r="B21" s="304"/>
      <c r="C21" s="304"/>
      <c r="D21" s="305"/>
      <c r="E21" s="300"/>
      <c r="F21" s="301"/>
      <c r="G21" s="301"/>
      <c r="H21" s="301"/>
      <c r="I21" s="301"/>
      <c r="J21" s="269"/>
      <c r="K21" s="270"/>
      <c r="L21" s="270"/>
      <c r="M21" s="270"/>
      <c r="N21" s="270"/>
      <c r="O21" s="271"/>
      <c r="P21" s="269"/>
      <c r="Q21" s="270"/>
      <c r="R21" s="270"/>
      <c r="S21" s="270"/>
      <c r="T21" s="270"/>
      <c r="U21" s="271"/>
      <c r="V21" s="287"/>
      <c r="W21" s="288"/>
      <c r="X21" s="288"/>
      <c r="Y21" s="288"/>
      <c r="Z21" s="288"/>
      <c r="AA21" s="289"/>
      <c r="AB21" s="287"/>
      <c r="AC21" s="288"/>
      <c r="AD21" s="288"/>
      <c r="AE21" s="288"/>
      <c r="AF21" s="288"/>
      <c r="AG21" s="289"/>
      <c r="AH21" s="278"/>
      <c r="AI21" s="279"/>
      <c r="AJ21" s="279"/>
      <c r="AK21" s="279"/>
      <c r="AL21" s="279"/>
      <c r="AM21" s="280"/>
      <c r="AN21" s="83"/>
      <c r="AO21" s="321"/>
      <c r="AP21" s="322"/>
      <c r="AQ21" s="322"/>
      <c r="AR21" s="322"/>
      <c r="AS21" s="322"/>
      <c r="AT21" s="32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35">
      <c r="A22" s="83"/>
      <c r="B22" s="304"/>
      <c r="C22" s="304"/>
      <c r="D22" s="305"/>
      <c r="E22" s="294" t="s">
        <v>109</v>
      </c>
      <c r="F22" s="295"/>
      <c r="G22" s="295"/>
      <c r="H22" s="295"/>
      <c r="I22" s="296"/>
      <c r="J22" s="272" t="str">
        <f ca="1">IF(AND('Mapa final'!$J$11="Media",'Mapa final'!$N$11="Leve"),CONCATENATE("R",'Mapa final'!$A$11),"")</f>
        <v/>
      </c>
      <c r="K22" s="273"/>
      <c r="L22" s="273" t="e">
        <f>IF(AND('Mapa final'!#REF!="Media",'Mapa final'!#REF!="Leve"),CONCATENATE("R",'Mapa final'!#REF!),"")</f>
        <v>#REF!</v>
      </c>
      <c r="M22" s="273"/>
      <c r="N22" s="273" t="e">
        <f>IF(AND('Mapa final'!#REF!="Media",'Mapa final'!#REF!="Leve"),CONCATENATE("R",'Mapa final'!#REF!),"")</f>
        <v>#REF!</v>
      </c>
      <c r="O22" s="274"/>
      <c r="P22" s="272" t="str">
        <f ca="1">IF(AND('Mapa final'!$J$11="Media",'Mapa final'!$N$11="Menor"),CONCATENATE("R",'Mapa final'!$A$11),"")</f>
        <v/>
      </c>
      <c r="Q22" s="273"/>
      <c r="R22" s="273" t="e">
        <f>IF(AND('Mapa final'!#REF!="Media",'Mapa final'!#REF!="Menor"),CONCATENATE("R",'Mapa final'!#REF!),"")</f>
        <v>#REF!</v>
      </c>
      <c r="S22" s="273"/>
      <c r="T22" s="273" t="e">
        <f>IF(AND('Mapa final'!#REF!="Media",'Mapa final'!#REF!="Menor"),CONCATENATE("R",'Mapa final'!#REF!),"")</f>
        <v>#REF!</v>
      </c>
      <c r="U22" s="274"/>
      <c r="V22" s="272" t="str">
        <f ca="1">IF(AND('Mapa final'!$J$11="Media",'Mapa final'!$N$11="Moderado"),CONCATENATE("R",'Mapa final'!$A$11),"")</f>
        <v/>
      </c>
      <c r="W22" s="273"/>
      <c r="X22" s="273" t="e">
        <f>IF(AND('Mapa final'!#REF!="Media",'Mapa final'!#REF!="Moderado"),CONCATENATE("R",'Mapa final'!#REF!),"")</f>
        <v>#REF!</v>
      </c>
      <c r="Y22" s="273"/>
      <c r="Z22" s="273" t="e">
        <f>IF(AND('Mapa final'!#REF!="Media",'Mapa final'!#REF!="Moderado"),CONCATENATE("R",'Mapa final'!#REF!),"")</f>
        <v>#REF!</v>
      </c>
      <c r="AA22" s="274"/>
      <c r="AB22" s="290" t="str">
        <f ca="1">IF(AND('Mapa final'!$J$11="Media",'Mapa final'!$N$11="Mayor"),CONCATENATE("R",'Mapa final'!$A$11),"")</f>
        <v/>
      </c>
      <c r="AC22" s="291"/>
      <c r="AD22" s="291" t="e">
        <f>IF(AND('Mapa final'!#REF!="Media",'Mapa final'!#REF!="Mayor"),CONCATENATE("R",'Mapa final'!#REF!),"")</f>
        <v>#REF!</v>
      </c>
      <c r="AE22" s="291"/>
      <c r="AF22" s="291" t="e">
        <f>IF(AND('Mapa final'!#REF!="Media",'Mapa final'!#REF!="Mayor"),CONCATENATE("R",'Mapa final'!#REF!),"")</f>
        <v>#REF!</v>
      </c>
      <c r="AG22" s="292"/>
      <c r="AH22" s="281" t="str">
        <f ca="1">IF(AND('Mapa final'!$J$11="Media",'Mapa final'!$N$11="Catastrófico"),CONCATENATE("R",'Mapa final'!$A$11),"")</f>
        <v/>
      </c>
      <c r="AI22" s="282"/>
      <c r="AJ22" s="282" t="e">
        <f>IF(AND('Mapa final'!#REF!="Media",'Mapa final'!#REF!="Catastrófico"),CONCATENATE("R",'Mapa final'!#REF!),"")</f>
        <v>#REF!</v>
      </c>
      <c r="AK22" s="282"/>
      <c r="AL22" s="282" t="e">
        <f>IF(AND('Mapa final'!#REF!="Media",'Mapa final'!#REF!="Catastrófico"),CONCATENATE("R",'Mapa final'!#REF!),"")</f>
        <v>#REF!</v>
      </c>
      <c r="AM22" s="283"/>
      <c r="AN22" s="83"/>
      <c r="AO22" s="324" t="s">
        <v>78</v>
      </c>
      <c r="AP22" s="325"/>
      <c r="AQ22" s="325"/>
      <c r="AR22" s="325"/>
      <c r="AS22" s="325"/>
      <c r="AT22" s="32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35">
      <c r="A23" s="83"/>
      <c r="B23" s="304"/>
      <c r="C23" s="304"/>
      <c r="D23" s="305"/>
      <c r="E23" s="297"/>
      <c r="F23" s="298"/>
      <c r="G23" s="298"/>
      <c r="H23" s="298"/>
      <c r="I23" s="299"/>
      <c r="J23" s="266"/>
      <c r="K23" s="267"/>
      <c r="L23" s="267"/>
      <c r="M23" s="267"/>
      <c r="N23" s="267"/>
      <c r="O23" s="268"/>
      <c r="P23" s="266"/>
      <c r="Q23" s="267"/>
      <c r="R23" s="267"/>
      <c r="S23" s="267"/>
      <c r="T23" s="267"/>
      <c r="U23" s="268"/>
      <c r="V23" s="266"/>
      <c r="W23" s="267"/>
      <c r="X23" s="267"/>
      <c r="Y23" s="267"/>
      <c r="Z23" s="267"/>
      <c r="AA23" s="268"/>
      <c r="AB23" s="284"/>
      <c r="AC23" s="285"/>
      <c r="AD23" s="285"/>
      <c r="AE23" s="285"/>
      <c r="AF23" s="285"/>
      <c r="AG23" s="286"/>
      <c r="AH23" s="275"/>
      <c r="AI23" s="276"/>
      <c r="AJ23" s="276"/>
      <c r="AK23" s="276"/>
      <c r="AL23" s="276"/>
      <c r="AM23" s="277"/>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35">
      <c r="A24" s="83"/>
      <c r="B24" s="304"/>
      <c r="C24" s="304"/>
      <c r="D24" s="305"/>
      <c r="E24" s="297"/>
      <c r="F24" s="298"/>
      <c r="G24" s="298"/>
      <c r="H24" s="298"/>
      <c r="I24" s="299"/>
      <c r="J24" s="266" t="str">
        <f ca="1">IF(AND('Mapa final'!$J$17="Media",'Mapa final'!$N$17="Leve"),CONCATENATE("R",'Mapa final'!$A$17),"")</f>
        <v/>
      </c>
      <c r="K24" s="267"/>
      <c r="L24" s="267" t="str">
        <f ca="1">IF(AND('Mapa final'!$J$23="Media",'Mapa final'!$N$23="Leve"),CONCATENATE("R",'Mapa final'!$A$23),"")</f>
        <v/>
      </c>
      <c r="M24" s="267"/>
      <c r="N24" s="267" t="str">
        <f ca="1">IF(AND('Mapa final'!$J$29="Media",'Mapa final'!$N$29="Leve"),CONCATENATE("R",'Mapa final'!$A$29),"")</f>
        <v/>
      </c>
      <c r="O24" s="268"/>
      <c r="P24" s="266" t="str">
        <f ca="1">IF(AND('Mapa final'!$J$17="Media",'Mapa final'!$N$17="Menor"),CONCATENATE("R",'Mapa final'!$A$17),"")</f>
        <v/>
      </c>
      <c r="Q24" s="267"/>
      <c r="R24" s="267" t="str">
        <f ca="1">IF(AND('Mapa final'!$J$23="Media",'Mapa final'!$N$23="Menor"),CONCATENATE("R",'Mapa final'!$A$23),"")</f>
        <v>R3</v>
      </c>
      <c r="S24" s="267"/>
      <c r="T24" s="267" t="str">
        <f ca="1">IF(AND('Mapa final'!$J$29="Media",'Mapa final'!$N$29="Menor"),CONCATENATE("R",'Mapa final'!$A$29),"")</f>
        <v/>
      </c>
      <c r="U24" s="268"/>
      <c r="V24" s="266" t="str">
        <f ca="1">IF(AND('Mapa final'!$J$17="Media",'Mapa final'!$N$17="Moderado"),CONCATENATE("R",'Mapa final'!$A$17),"")</f>
        <v/>
      </c>
      <c r="W24" s="267"/>
      <c r="X24" s="267" t="str">
        <f ca="1">IF(AND('Mapa final'!$J$23="Media",'Mapa final'!$N$23="Moderado"),CONCATENATE("R",'Mapa final'!$A$23),"")</f>
        <v/>
      </c>
      <c r="Y24" s="267"/>
      <c r="Z24" s="267" t="str">
        <f ca="1">IF(AND('Mapa final'!$J$29="Media",'Mapa final'!$N$29="Moderado"),CONCATENATE("R",'Mapa final'!$A$29),"")</f>
        <v/>
      </c>
      <c r="AA24" s="268"/>
      <c r="AB24" s="284" t="str">
        <f ca="1">IF(AND('Mapa final'!$J$17="Media",'Mapa final'!$N$17="Mayor"),CONCATENATE("R",'Mapa final'!$A$17),"")</f>
        <v/>
      </c>
      <c r="AC24" s="285"/>
      <c r="AD24" s="285" t="str">
        <f ca="1">IF(AND('Mapa final'!$J$23="Media",'Mapa final'!$N$23="Mayor"),CONCATENATE("R",'Mapa final'!$A$23),"")</f>
        <v/>
      </c>
      <c r="AE24" s="285"/>
      <c r="AF24" s="285" t="str">
        <f ca="1">IF(AND('Mapa final'!$J$29="Media",'Mapa final'!$N$29="Mayor"),CONCATENATE("R",'Mapa final'!$A$29),"")</f>
        <v/>
      </c>
      <c r="AG24" s="286"/>
      <c r="AH24" s="275" t="str">
        <f ca="1">IF(AND('Mapa final'!$J$17="Media",'Mapa final'!$N$17="Catastrófico"),CONCATENATE("R",'Mapa final'!$A$17),"")</f>
        <v/>
      </c>
      <c r="AI24" s="276"/>
      <c r="AJ24" s="276" t="str">
        <f ca="1">IF(AND('Mapa final'!$J$23="Media",'Mapa final'!$N$23="Catastrófico"),CONCATENATE("R",'Mapa final'!$A$23),"")</f>
        <v/>
      </c>
      <c r="AK24" s="276"/>
      <c r="AL24" s="276" t="str">
        <f ca="1">IF(AND('Mapa final'!$J$29="Media",'Mapa final'!$N$29="Catastrófico"),CONCATENATE("R",'Mapa final'!$A$29),"")</f>
        <v/>
      </c>
      <c r="AM24" s="277"/>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35">
      <c r="A25" s="83"/>
      <c r="B25" s="304"/>
      <c r="C25" s="304"/>
      <c r="D25" s="305"/>
      <c r="E25" s="297"/>
      <c r="F25" s="298"/>
      <c r="G25" s="298"/>
      <c r="H25" s="298"/>
      <c r="I25" s="299"/>
      <c r="J25" s="266"/>
      <c r="K25" s="267"/>
      <c r="L25" s="267"/>
      <c r="M25" s="267"/>
      <c r="N25" s="267"/>
      <c r="O25" s="268"/>
      <c r="P25" s="266"/>
      <c r="Q25" s="267"/>
      <c r="R25" s="267"/>
      <c r="S25" s="267"/>
      <c r="T25" s="267"/>
      <c r="U25" s="268"/>
      <c r="V25" s="266"/>
      <c r="W25" s="267"/>
      <c r="X25" s="267"/>
      <c r="Y25" s="267"/>
      <c r="Z25" s="267"/>
      <c r="AA25" s="268"/>
      <c r="AB25" s="284"/>
      <c r="AC25" s="285"/>
      <c r="AD25" s="285"/>
      <c r="AE25" s="285"/>
      <c r="AF25" s="285"/>
      <c r="AG25" s="286"/>
      <c r="AH25" s="275"/>
      <c r="AI25" s="276"/>
      <c r="AJ25" s="276"/>
      <c r="AK25" s="276"/>
      <c r="AL25" s="276"/>
      <c r="AM25" s="277"/>
      <c r="AN25" s="83"/>
      <c r="AO25" s="327"/>
      <c r="AP25" s="328"/>
      <c r="AQ25" s="328"/>
      <c r="AR25" s="328"/>
      <c r="AS25" s="328"/>
      <c r="AT25" s="32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35">
      <c r="A26" s="83"/>
      <c r="B26" s="304"/>
      <c r="C26" s="304"/>
      <c r="D26" s="305"/>
      <c r="E26" s="297"/>
      <c r="F26" s="298"/>
      <c r="G26" s="298"/>
      <c r="H26" s="298"/>
      <c r="I26" s="299"/>
      <c r="J26" s="266" t="str">
        <f ca="1">IF(AND('Mapa final'!$J$35="Media",'Mapa final'!$N$35="Leve"),CONCATENATE("R",'Mapa final'!$A$35),"")</f>
        <v/>
      </c>
      <c r="K26" s="267"/>
      <c r="L26" s="267" t="str">
        <f ca="1">IF(AND('Mapa final'!$J$41="Media",'Mapa final'!$N$41="Leve"),CONCATENATE("R",'Mapa final'!$A$41),"")</f>
        <v/>
      </c>
      <c r="M26" s="267"/>
      <c r="N26" s="267" t="str">
        <f ca="1">IF(AND('Mapa final'!$J$47="Media",'Mapa final'!$N$47="Leve"),CONCATENATE("R",'Mapa final'!$A$47),"")</f>
        <v/>
      </c>
      <c r="O26" s="268"/>
      <c r="P26" s="266" t="str">
        <f ca="1">IF(AND('Mapa final'!$J$35="Media",'Mapa final'!$N$35="Menor"),CONCATENATE("R",'Mapa final'!$A$35),"")</f>
        <v/>
      </c>
      <c r="Q26" s="267"/>
      <c r="R26" s="267" t="str">
        <f ca="1">IF(AND('Mapa final'!$J$41="Media",'Mapa final'!$N$41="Menor"),CONCATENATE("R",'Mapa final'!$A$41),"")</f>
        <v/>
      </c>
      <c r="S26" s="267"/>
      <c r="T26" s="267" t="str">
        <f ca="1">IF(AND('Mapa final'!$J$47="Media",'Mapa final'!$N$47="Menor"),CONCATENATE("R",'Mapa final'!$A$47),"")</f>
        <v/>
      </c>
      <c r="U26" s="268"/>
      <c r="V26" s="266" t="str">
        <f ca="1">IF(AND('Mapa final'!$J$35="Media",'Mapa final'!$N$35="Moderado"),CONCATENATE("R",'Mapa final'!$A$35),"")</f>
        <v/>
      </c>
      <c r="W26" s="267"/>
      <c r="X26" s="267" t="str">
        <f ca="1">IF(AND('Mapa final'!$J$41="Media",'Mapa final'!$N$41="Moderado"),CONCATENATE("R",'Mapa final'!$A$41),"")</f>
        <v/>
      </c>
      <c r="Y26" s="267"/>
      <c r="Z26" s="267" t="str">
        <f ca="1">IF(AND('Mapa final'!$J$47="Media",'Mapa final'!$N$47="Moderado"),CONCATENATE("R",'Mapa final'!$A$47),"")</f>
        <v/>
      </c>
      <c r="AA26" s="268"/>
      <c r="AB26" s="284" t="str">
        <f ca="1">IF(AND('Mapa final'!$J$35="Media",'Mapa final'!$N$35="Mayor"),CONCATENATE("R",'Mapa final'!$A$35),"")</f>
        <v/>
      </c>
      <c r="AC26" s="285"/>
      <c r="AD26" s="285" t="str">
        <f ca="1">IF(AND('Mapa final'!$J$41="Media",'Mapa final'!$N$41="Mayor"),CONCATENATE("R",'Mapa final'!$A$41),"")</f>
        <v/>
      </c>
      <c r="AE26" s="285"/>
      <c r="AF26" s="285" t="str">
        <f ca="1">IF(AND('Mapa final'!$J$47="Media",'Mapa final'!$N$47="Mayor"),CONCATENATE("R",'Mapa final'!$A$47),"")</f>
        <v/>
      </c>
      <c r="AG26" s="286"/>
      <c r="AH26" s="275" t="str">
        <f ca="1">IF(AND('Mapa final'!$J$35="Media",'Mapa final'!$N$35="Catastrófico"),CONCATENATE("R",'Mapa final'!$A$35),"")</f>
        <v/>
      </c>
      <c r="AI26" s="276"/>
      <c r="AJ26" s="276" t="str">
        <f ca="1">IF(AND('Mapa final'!$J$41="Media",'Mapa final'!$N$41="Catastrófico"),CONCATENATE("R",'Mapa final'!$A$41),"")</f>
        <v/>
      </c>
      <c r="AK26" s="276"/>
      <c r="AL26" s="276" t="str">
        <f ca="1">IF(AND('Mapa final'!$J$47="Media",'Mapa final'!$N$47="Catastrófico"),CONCATENATE("R",'Mapa final'!$A$47),"")</f>
        <v/>
      </c>
      <c r="AM26" s="277"/>
      <c r="AN26" s="83"/>
      <c r="AO26" s="327"/>
      <c r="AP26" s="328"/>
      <c r="AQ26" s="328"/>
      <c r="AR26" s="328"/>
      <c r="AS26" s="328"/>
      <c r="AT26" s="32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35">
      <c r="A27" s="83"/>
      <c r="B27" s="304"/>
      <c r="C27" s="304"/>
      <c r="D27" s="305"/>
      <c r="E27" s="297"/>
      <c r="F27" s="298"/>
      <c r="G27" s="298"/>
      <c r="H27" s="298"/>
      <c r="I27" s="299"/>
      <c r="J27" s="266"/>
      <c r="K27" s="267"/>
      <c r="L27" s="267"/>
      <c r="M27" s="267"/>
      <c r="N27" s="267"/>
      <c r="O27" s="268"/>
      <c r="P27" s="266"/>
      <c r="Q27" s="267"/>
      <c r="R27" s="267"/>
      <c r="S27" s="267"/>
      <c r="T27" s="267"/>
      <c r="U27" s="268"/>
      <c r="V27" s="266"/>
      <c r="W27" s="267"/>
      <c r="X27" s="267"/>
      <c r="Y27" s="267"/>
      <c r="Z27" s="267"/>
      <c r="AA27" s="268"/>
      <c r="AB27" s="284"/>
      <c r="AC27" s="285"/>
      <c r="AD27" s="285"/>
      <c r="AE27" s="285"/>
      <c r="AF27" s="285"/>
      <c r="AG27" s="286"/>
      <c r="AH27" s="275"/>
      <c r="AI27" s="276"/>
      <c r="AJ27" s="276"/>
      <c r="AK27" s="276"/>
      <c r="AL27" s="276"/>
      <c r="AM27" s="277"/>
      <c r="AN27" s="83"/>
      <c r="AO27" s="327"/>
      <c r="AP27" s="328"/>
      <c r="AQ27" s="328"/>
      <c r="AR27" s="328"/>
      <c r="AS27" s="328"/>
      <c r="AT27" s="32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35">
      <c r="A28" s="83"/>
      <c r="B28" s="304"/>
      <c r="C28" s="304"/>
      <c r="D28" s="305"/>
      <c r="E28" s="297"/>
      <c r="F28" s="298"/>
      <c r="G28" s="298"/>
      <c r="H28" s="298"/>
      <c r="I28" s="299"/>
      <c r="J28" s="266" t="str">
        <f ca="1">IF(AND('Mapa final'!$J$53="Media",'Mapa final'!$N$53="Leve"),CONCATENATE("R",'Mapa final'!$A$53),"")</f>
        <v/>
      </c>
      <c r="K28" s="267"/>
      <c r="L28" s="267" t="str">
        <f>IF(AND('Mapa final'!$J$59="Media",'Mapa final'!$N$59="Leve"),CONCATENATE("R",'Mapa final'!$A$59),"")</f>
        <v/>
      </c>
      <c r="M28" s="267"/>
      <c r="N28" s="267" t="str">
        <f>IF(AND('Mapa final'!$J$65="Media",'Mapa final'!$N$65="Leve"),CONCATENATE("R",'Mapa final'!$A$65),"")</f>
        <v/>
      </c>
      <c r="O28" s="268"/>
      <c r="P28" s="266" t="str">
        <f ca="1">IF(AND('Mapa final'!$J$53="Media",'Mapa final'!$N$53="Menor"),CONCATENATE("R",'Mapa final'!$A$53),"")</f>
        <v/>
      </c>
      <c r="Q28" s="267"/>
      <c r="R28" s="267" t="str">
        <f>IF(AND('Mapa final'!$J$59="Media",'Mapa final'!$N$59="Menor"),CONCATENATE("R",'Mapa final'!$A$59),"")</f>
        <v/>
      </c>
      <c r="S28" s="267"/>
      <c r="T28" s="267" t="str">
        <f>IF(AND('Mapa final'!$J$65="Media",'Mapa final'!$N$65="Menor"),CONCATENATE("R",'Mapa final'!$A$65),"")</f>
        <v/>
      </c>
      <c r="U28" s="268"/>
      <c r="V28" s="266" t="str">
        <f ca="1">IF(AND('Mapa final'!$J$53="Media",'Mapa final'!$N$53="Moderado"),CONCATENATE("R",'Mapa final'!$A$53),"")</f>
        <v/>
      </c>
      <c r="W28" s="267"/>
      <c r="X28" s="267" t="str">
        <f>IF(AND('Mapa final'!$J$59="Media",'Mapa final'!$N$59="Moderado"),CONCATENATE("R",'Mapa final'!$A$59),"")</f>
        <v/>
      </c>
      <c r="Y28" s="267"/>
      <c r="Z28" s="267" t="str">
        <f>IF(AND('Mapa final'!$J$65="Media",'Mapa final'!$N$65="Moderado"),CONCATENATE("R",'Mapa final'!$A$65),"")</f>
        <v/>
      </c>
      <c r="AA28" s="268"/>
      <c r="AB28" s="284" t="str">
        <f ca="1">IF(AND('Mapa final'!$J$53="Media",'Mapa final'!$N$53="Mayor"),CONCATENATE("R",'Mapa final'!$A$53),"")</f>
        <v/>
      </c>
      <c r="AC28" s="285"/>
      <c r="AD28" s="285" t="str">
        <f>IF(AND('Mapa final'!$J$59="Media",'Mapa final'!$N$59="Mayor"),CONCATENATE("R",'Mapa final'!$A$59),"")</f>
        <v/>
      </c>
      <c r="AE28" s="285"/>
      <c r="AF28" s="285" t="str">
        <f>IF(AND('Mapa final'!$J$65="Media",'Mapa final'!$N$65="Mayor"),CONCATENATE("R",'Mapa final'!$A$65),"")</f>
        <v/>
      </c>
      <c r="AG28" s="286"/>
      <c r="AH28" s="275" t="str">
        <f ca="1">IF(AND('Mapa final'!$J$53="Media",'Mapa final'!$N$53="Catastrófico"),CONCATENATE("R",'Mapa final'!$A$53),"")</f>
        <v/>
      </c>
      <c r="AI28" s="276"/>
      <c r="AJ28" s="276" t="str">
        <f>IF(AND('Mapa final'!$J$59="Media",'Mapa final'!$N$59="Catastrófico"),CONCATENATE("R",'Mapa final'!$A$59),"")</f>
        <v/>
      </c>
      <c r="AK28" s="276"/>
      <c r="AL28" s="276" t="str">
        <f>IF(AND('Mapa final'!$J$65="Media",'Mapa final'!$N$65="Catastrófico"),CONCATENATE("R",'Mapa final'!$A$65),"")</f>
        <v/>
      </c>
      <c r="AM28" s="277"/>
      <c r="AN28" s="83"/>
      <c r="AO28" s="327"/>
      <c r="AP28" s="328"/>
      <c r="AQ28" s="328"/>
      <c r="AR28" s="328"/>
      <c r="AS28" s="328"/>
      <c r="AT28" s="32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x14ac:dyDescent="0.4">
      <c r="A29" s="83"/>
      <c r="B29" s="304"/>
      <c r="C29" s="304"/>
      <c r="D29" s="305"/>
      <c r="E29" s="300"/>
      <c r="F29" s="301"/>
      <c r="G29" s="301"/>
      <c r="H29" s="301"/>
      <c r="I29" s="302"/>
      <c r="J29" s="266"/>
      <c r="K29" s="267"/>
      <c r="L29" s="267"/>
      <c r="M29" s="267"/>
      <c r="N29" s="267"/>
      <c r="O29" s="268"/>
      <c r="P29" s="269"/>
      <c r="Q29" s="270"/>
      <c r="R29" s="270"/>
      <c r="S29" s="270"/>
      <c r="T29" s="270"/>
      <c r="U29" s="271"/>
      <c r="V29" s="269"/>
      <c r="W29" s="270"/>
      <c r="X29" s="270"/>
      <c r="Y29" s="270"/>
      <c r="Z29" s="270"/>
      <c r="AA29" s="271"/>
      <c r="AB29" s="287"/>
      <c r="AC29" s="288"/>
      <c r="AD29" s="288"/>
      <c r="AE29" s="288"/>
      <c r="AF29" s="288"/>
      <c r="AG29" s="289"/>
      <c r="AH29" s="278"/>
      <c r="AI29" s="279"/>
      <c r="AJ29" s="279"/>
      <c r="AK29" s="279"/>
      <c r="AL29" s="279"/>
      <c r="AM29" s="280"/>
      <c r="AN29" s="83"/>
      <c r="AO29" s="330"/>
      <c r="AP29" s="331"/>
      <c r="AQ29" s="331"/>
      <c r="AR29" s="331"/>
      <c r="AS29" s="331"/>
      <c r="AT29" s="33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35">
      <c r="A30" s="83"/>
      <c r="B30" s="304"/>
      <c r="C30" s="304"/>
      <c r="D30" s="305"/>
      <c r="E30" s="294" t="s">
        <v>106</v>
      </c>
      <c r="F30" s="295"/>
      <c r="G30" s="295"/>
      <c r="H30" s="295"/>
      <c r="I30" s="295"/>
      <c r="J30" s="263" t="str">
        <f ca="1">IF(AND('Mapa final'!$J$11="Baja",'Mapa final'!$N$11="Leve"),CONCATENATE("R",'Mapa final'!$A$11),"")</f>
        <v/>
      </c>
      <c r="K30" s="264"/>
      <c r="L30" s="264" t="e">
        <f>IF(AND('Mapa final'!#REF!="Baja",'Mapa final'!#REF!="Leve"),CONCATENATE("R",'Mapa final'!#REF!),"")</f>
        <v>#REF!</v>
      </c>
      <c r="M30" s="264"/>
      <c r="N30" s="264" t="e">
        <f>IF(AND('Mapa final'!#REF!="Baja",'Mapa final'!#REF!="Leve"),CONCATENATE("R",'Mapa final'!#REF!),"")</f>
        <v>#REF!</v>
      </c>
      <c r="O30" s="265"/>
      <c r="P30" s="273" t="str">
        <f ca="1">IF(AND('Mapa final'!$J$11="Baja",'Mapa final'!$N$11="Menor"),CONCATENATE("R",'Mapa final'!$A$11),"")</f>
        <v>R1</v>
      </c>
      <c r="Q30" s="273"/>
      <c r="R30" s="273" t="e">
        <f>IF(AND('Mapa final'!#REF!="Baja",'Mapa final'!#REF!="Menor"),CONCATENATE("R",'Mapa final'!#REF!),"")</f>
        <v>#REF!</v>
      </c>
      <c r="S30" s="273"/>
      <c r="T30" s="273" t="e">
        <f>IF(AND('Mapa final'!#REF!="Baja",'Mapa final'!#REF!="Menor"),CONCATENATE("R",'Mapa final'!#REF!),"")</f>
        <v>#REF!</v>
      </c>
      <c r="U30" s="274"/>
      <c r="V30" s="272" t="str">
        <f ca="1">IF(AND('Mapa final'!$J$11="Baja",'Mapa final'!$N$11="Moderado"),CONCATENATE("R",'Mapa final'!$A$11),"")</f>
        <v/>
      </c>
      <c r="W30" s="273"/>
      <c r="X30" s="273" t="e">
        <f>IF(AND('Mapa final'!#REF!="Baja",'Mapa final'!#REF!="Moderado"),CONCATENATE("R",'Mapa final'!#REF!),"")</f>
        <v>#REF!</v>
      </c>
      <c r="Y30" s="273"/>
      <c r="Z30" s="273" t="e">
        <f>IF(AND('Mapa final'!#REF!="Baja",'Mapa final'!#REF!="Moderado"),CONCATENATE("R",'Mapa final'!#REF!),"")</f>
        <v>#REF!</v>
      </c>
      <c r="AA30" s="274"/>
      <c r="AB30" s="290" t="str">
        <f ca="1">IF(AND('Mapa final'!$J$11="Baja",'Mapa final'!$N$11="Mayor"),CONCATENATE("R",'Mapa final'!$A$11),"")</f>
        <v/>
      </c>
      <c r="AC30" s="291"/>
      <c r="AD30" s="291" t="e">
        <f>IF(AND('Mapa final'!#REF!="Baja",'Mapa final'!#REF!="Mayor"),CONCATENATE("R",'Mapa final'!#REF!),"")</f>
        <v>#REF!</v>
      </c>
      <c r="AE30" s="291"/>
      <c r="AF30" s="291" t="e">
        <f>IF(AND('Mapa final'!#REF!="Baja",'Mapa final'!#REF!="Mayor"),CONCATENATE("R",'Mapa final'!#REF!),"")</f>
        <v>#REF!</v>
      </c>
      <c r="AG30" s="292"/>
      <c r="AH30" s="281" t="str">
        <f ca="1">IF(AND('Mapa final'!$J$11="Baja",'Mapa final'!$N$11="Catastrófico"),CONCATENATE("R",'Mapa final'!$A$11),"")</f>
        <v/>
      </c>
      <c r="AI30" s="282"/>
      <c r="AJ30" s="282" t="e">
        <f>IF(AND('Mapa final'!#REF!="Baja",'Mapa final'!#REF!="Catastrófico"),CONCATENATE("R",'Mapa final'!#REF!),"")</f>
        <v>#REF!</v>
      </c>
      <c r="AK30" s="282"/>
      <c r="AL30" s="282" t="e">
        <f>IF(AND('Mapa final'!#REF!="Baja",'Mapa final'!#REF!="Catastrófico"),CONCATENATE("R",'Mapa final'!#REF!),"")</f>
        <v>#REF!</v>
      </c>
      <c r="AM30" s="283"/>
      <c r="AN30" s="83"/>
      <c r="AO30" s="333" t="s">
        <v>79</v>
      </c>
      <c r="AP30" s="334"/>
      <c r="AQ30" s="334"/>
      <c r="AR30" s="334"/>
      <c r="AS30" s="334"/>
      <c r="AT30" s="33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35">
      <c r="A31" s="83"/>
      <c r="B31" s="304"/>
      <c r="C31" s="304"/>
      <c r="D31" s="305"/>
      <c r="E31" s="297"/>
      <c r="F31" s="298"/>
      <c r="G31" s="298"/>
      <c r="H31" s="298"/>
      <c r="I31" s="298"/>
      <c r="J31" s="257"/>
      <c r="K31" s="258"/>
      <c r="L31" s="258"/>
      <c r="M31" s="258"/>
      <c r="N31" s="258"/>
      <c r="O31" s="259"/>
      <c r="P31" s="267"/>
      <c r="Q31" s="267"/>
      <c r="R31" s="267"/>
      <c r="S31" s="267"/>
      <c r="T31" s="267"/>
      <c r="U31" s="268"/>
      <c r="V31" s="266"/>
      <c r="W31" s="267"/>
      <c r="X31" s="267"/>
      <c r="Y31" s="267"/>
      <c r="Z31" s="267"/>
      <c r="AA31" s="268"/>
      <c r="AB31" s="284"/>
      <c r="AC31" s="285"/>
      <c r="AD31" s="285"/>
      <c r="AE31" s="285"/>
      <c r="AF31" s="285"/>
      <c r="AG31" s="286"/>
      <c r="AH31" s="275"/>
      <c r="AI31" s="276"/>
      <c r="AJ31" s="276"/>
      <c r="AK31" s="276"/>
      <c r="AL31" s="276"/>
      <c r="AM31" s="277"/>
      <c r="AN31" s="83"/>
      <c r="AO31" s="336"/>
      <c r="AP31" s="337"/>
      <c r="AQ31" s="337"/>
      <c r="AR31" s="337"/>
      <c r="AS31" s="337"/>
      <c r="AT31" s="33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35">
      <c r="A32" s="83"/>
      <c r="B32" s="304"/>
      <c r="C32" s="304"/>
      <c r="D32" s="305"/>
      <c r="E32" s="297"/>
      <c r="F32" s="298"/>
      <c r="G32" s="298"/>
      <c r="H32" s="298"/>
      <c r="I32" s="298"/>
      <c r="J32" s="257" t="str">
        <f ca="1">IF(AND('Mapa final'!$J$17="Baja",'Mapa final'!$N$17="Leve"),CONCATENATE("R",'Mapa final'!$A$17),"")</f>
        <v>R2</v>
      </c>
      <c r="K32" s="258"/>
      <c r="L32" s="258" t="str">
        <f ca="1">IF(AND('Mapa final'!$J$23="Baja",'Mapa final'!$N$23="Leve"),CONCATENATE("R",'Mapa final'!$A$23),"")</f>
        <v/>
      </c>
      <c r="M32" s="258"/>
      <c r="N32" s="258" t="str">
        <f ca="1">IF(AND('Mapa final'!$J$29="Baja",'Mapa final'!$N$29="Leve"),CONCATENATE("R",'Mapa final'!$A$29),"")</f>
        <v/>
      </c>
      <c r="O32" s="259"/>
      <c r="P32" s="267" t="str">
        <f ca="1">IF(AND('Mapa final'!$J$17="Baja",'Mapa final'!$N$17="Menor"),CONCATENATE("R",'Mapa final'!$A$17),"")</f>
        <v/>
      </c>
      <c r="Q32" s="267"/>
      <c r="R32" s="267" t="str">
        <f ca="1">IF(AND('Mapa final'!$J$23="Baja",'Mapa final'!$N$23="Menor"),CONCATENATE("R",'Mapa final'!$A$23),"")</f>
        <v/>
      </c>
      <c r="S32" s="267"/>
      <c r="T32" s="267" t="str">
        <f ca="1">IF(AND('Mapa final'!$J$29="Baja",'Mapa final'!$N$29="Menor"),CONCATENATE("R",'Mapa final'!$A$29),"")</f>
        <v/>
      </c>
      <c r="U32" s="268"/>
      <c r="V32" s="266" t="str">
        <f ca="1">IF(AND('Mapa final'!$J$17="Baja",'Mapa final'!$N$17="Moderado"),CONCATENATE("R",'Mapa final'!$A$17),"")</f>
        <v/>
      </c>
      <c r="W32" s="267"/>
      <c r="X32" s="267" t="str">
        <f ca="1">IF(AND('Mapa final'!$J$23="Baja",'Mapa final'!$N$23="Moderado"),CONCATENATE("R",'Mapa final'!$A$23),"")</f>
        <v/>
      </c>
      <c r="Y32" s="267"/>
      <c r="Z32" s="267" t="str">
        <f ca="1">IF(AND('Mapa final'!$J$29="Baja",'Mapa final'!$N$29="Moderado"),CONCATENATE("R",'Mapa final'!$A$29),"")</f>
        <v>R4</v>
      </c>
      <c r="AA32" s="268"/>
      <c r="AB32" s="284" t="str">
        <f ca="1">IF(AND('Mapa final'!$J$17="Baja",'Mapa final'!$N$17="Mayor"),CONCATENATE("R",'Mapa final'!$A$17),"")</f>
        <v/>
      </c>
      <c r="AC32" s="285"/>
      <c r="AD32" s="285" t="str">
        <f ca="1">IF(AND('Mapa final'!$J$23="Baja",'Mapa final'!$N$23="Mayor"),CONCATENATE("R",'Mapa final'!$A$23),"")</f>
        <v/>
      </c>
      <c r="AE32" s="285"/>
      <c r="AF32" s="285" t="str">
        <f ca="1">IF(AND('Mapa final'!$J$29="Baja",'Mapa final'!$N$29="Mayor"),CONCATENATE("R",'Mapa final'!$A$29),"")</f>
        <v/>
      </c>
      <c r="AG32" s="286"/>
      <c r="AH32" s="275" t="str">
        <f ca="1">IF(AND('Mapa final'!$J$17="Baja",'Mapa final'!$N$17="Catastrófico"),CONCATENATE("R",'Mapa final'!$A$17),"")</f>
        <v/>
      </c>
      <c r="AI32" s="276"/>
      <c r="AJ32" s="276" t="str">
        <f ca="1">IF(AND('Mapa final'!$J$23="Baja",'Mapa final'!$N$23="Catastrófico"),CONCATENATE("R",'Mapa final'!$A$23),"")</f>
        <v/>
      </c>
      <c r="AK32" s="276"/>
      <c r="AL32" s="276" t="str">
        <f ca="1">IF(AND('Mapa final'!$J$29="Baja",'Mapa final'!$N$29="Catastrófico"),CONCATENATE("R",'Mapa final'!$A$29),"")</f>
        <v/>
      </c>
      <c r="AM32" s="277"/>
      <c r="AN32" s="83"/>
      <c r="AO32" s="336"/>
      <c r="AP32" s="337"/>
      <c r="AQ32" s="337"/>
      <c r="AR32" s="337"/>
      <c r="AS32" s="337"/>
      <c r="AT32" s="33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35">
      <c r="A33" s="83"/>
      <c r="B33" s="304"/>
      <c r="C33" s="304"/>
      <c r="D33" s="305"/>
      <c r="E33" s="297"/>
      <c r="F33" s="298"/>
      <c r="G33" s="298"/>
      <c r="H33" s="298"/>
      <c r="I33" s="298"/>
      <c r="J33" s="257"/>
      <c r="K33" s="258"/>
      <c r="L33" s="258"/>
      <c r="M33" s="258"/>
      <c r="N33" s="258"/>
      <c r="O33" s="259"/>
      <c r="P33" s="267"/>
      <c r="Q33" s="267"/>
      <c r="R33" s="267"/>
      <c r="S33" s="267"/>
      <c r="T33" s="267"/>
      <c r="U33" s="268"/>
      <c r="V33" s="266"/>
      <c r="W33" s="267"/>
      <c r="X33" s="267"/>
      <c r="Y33" s="267"/>
      <c r="Z33" s="267"/>
      <c r="AA33" s="268"/>
      <c r="AB33" s="284"/>
      <c r="AC33" s="285"/>
      <c r="AD33" s="285"/>
      <c r="AE33" s="285"/>
      <c r="AF33" s="285"/>
      <c r="AG33" s="286"/>
      <c r="AH33" s="275"/>
      <c r="AI33" s="276"/>
      <c r="AJ33" s="276"/>
      <c r="AK33" s="276"/>
      <c r="AL33" s="276"/>
      <c r="AM33" s="277"/>
      <c r="AN33" s="83"/>
      <c r="AO33" s="336"/>
      <c r="AP33" s="337"/>
      <c r="AQ33" s="337"/>
      <c r="AR33" s="337"/>
      <c r="AS33" s="337"/>
      <c r="AT33" s="33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35">
      <c r="A34" s="83"/>
      <c r="B34" s="304"/>
      <c r="C34" s="304"/>
      <c r="D34" s="305"/>
      <c r="E34" s="297"/>
      <c r="F34" s="298"/>
      <c r="G34" s="298"/>
      <c r="H34" s="298"/>
      <c r="I34" s="298"/>
      <c r="J34" s="257" t="str">
        <f ca="1">IF(AND('Mapa final'!$J$35="Baja",'Mapa final'!$N$35="Leve"),CONCATENATE("R",'Mapa final'!$A$35),"")</f>
        <v/>
      </c>
      <c r="K34" s="258"/>
      <c r="L34" s="258" t="str">
        <f ca="1">IF(AND('Mapa final'!$J$41="Baja",'Mapa final'!$N$41="Leve"),CONCATENATE("R",'Mapa final'!$A$41),"")</f>
        <v/>
      </c>
      <c r="M34" s="258"/>
      <c r="N34" s="258" t="str">
        <f ca="1">IF(AND('Mapa final'!$J$47="Baja",'Mapa final'!$N$47="Leve"),CONCATENATE("R",'Mapa final'!$A$47),"")</f>
        <v/>
      </c>
      <c r="O34" s="259"/>
      <c r="P34" s="267" t="str">
        <f ca="1">IF(AND('Mapa final'!$J$35="Baja",'Mapa final'!$N$35="Menor"),CONCATENATE("R",'Mapa final'!$A$35),"")</f>
        <v/>
      </c>
      <c r="Q34" s="267"/>
      <c r="R34" s="267" t="str">
        <f ca="1">IF(AND('Mapa final'!$J$41="Baja",'Mapa final'!$N$41="Menor"),CONCATENATE("R",'Mapa final'!$A$41),"")</f>
        <v/>
      </c>
      <c r="S34" s="267"/>
      <c r="T34" s="267" t="str">
        <f ca="1">IF(AND('Mapa final'!$J$47="Baja",'Mapa final'!$N$47="Menor"),CONCATENATE("R",'Mapa final'!$A$47),"")</f>
        <v/>
      </c>
      <c r="U34" s="268"/>
      <c r="V34" s="266" t="str">
        <f ca="1">IF(AND('Mapa final'!$J$35="Baja",'Mapa final'!$N$35="Moderado"),CONCATENATE("R",'Mapa final'!$A$35),"")</f>
        <v>R5</v>
      </c>
      <c r="W34" s="267"/>
      <c r="X34" s="267" t="str">
        <f ca="1">IF(AND('Mapa final'!$J$41="Baja",'Mapa final'!$N$41="Moderado"),CONCATENATE("R",'Mapa final'!$A$41),"")</f>
        <v/>
      </c>
      <c r="Y34" s="267"/>
      <c r="Z34" s="267" t="str">
        <f ca="1">IF(AND('Mapa final'!$J$47="Baja",'Mapa final'!$N$47="Moderado"),CONCATENATE("R",'Mapa final'!$A$47),"")</f>
        <v/>
      </c>
      <c r="AA34" s="268"/>
      <c r="AB34" s="284" t="str">
        <f ca="1">IF(AND('Mapa final'!$J$35="Baja",'Mapa final'!$N$35="Mayor"),CONCATENATE("R",'Mapa final'!$A$35),"")</f>
        <v/>
      </c>
      <c r="AC34" s="285"/>
      <c r="AD34" s="285" t="str">
        <f ca="1">IF(AND('Mapa final'!$J$41="Baja",'Mapa final'!$N$41="Mayor"),CONCATENATE("R",'Mapa final'!$A$41),"")</f>
        <v/>
      </c>
      <c r="AE34" s="285"/>
      <c r="AF34" s="285" t="str">
        <f ca="1">IF(AND('Mapa final'!$J$47="Baja",'Mapa final'!$N$47="Mayor"),CONCATENATE("R",'Mapa final'!$A$47),"")</f>
        <v/>
      </c>
      <c r="AG34" s="286"/>
      <c r="AH34" s="275" t="str">
        <f ca="1">IF(AND('Mapa final'!$J$35="Baja",'Mapa final'!$N$35="Catastrófico"),CONCATENATE("R",'Mapa final'!$A$35),"")</f>
        <v/>
      </c>
      <c r="AI34" s="276"/>
      <c r="AJ34" s="276" t="str">
        <f ca="1">IF(AND('Mapa final'!$J$41="Baja",'Mapa final'!$N$41="Catastrófico"),CONCATENATE("R",'Mapa final'!$A$41),"")</f>
        <v/>
      </c>
      <c r="AK34" s="276"/>
      <c r="AL34" s="276" t="str">
        <f ca="1">IF(AND('Mapa final'!$J$47="Baja",'Mapa final'!$N$47="Catastrófico"),CONCATENATE("R",'Mapa final'!$A$47),"")</f>
        <v/>
      </c>
      <c r="AM34" s="277"/>
      <c r="AN34" s="83"/>
      <c r="AO34" s="336"/>
      <c r="AP34" s="337"/>
      <c r="AQ34" s="337"/>
      <c r="AR34" s="337"/>
      <c r="AS34" s="337"/>
      <c r="AT34" s="33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35">
      <c r="A35" s="83"/>
      <c r="B35" s="304"/>
      <c r="C35" s="304"/>
      <c r="D35" s="305"/>
      <c r="E35" s="297"/>
      <c r="F35" s="298"/>
      <c r="G35" s="298"/>
      <c r="H35" s="298"/>
      <c r="I35" s="298"/>
      <c r="J35" s="257"/>
      <c r="K35" s="258"/>
      <c r="L35" s="258"/>
      <c r="M35" s="258"/>
      <c r="N35" s="258"/>
      <c r="O35" s="259"/>
      <c r="P35" s="267"/>
      <c r="Q35" s="267"/>
      <c r="R35" s="267"/>
      <c r="S35" s="267"/>
      <c r="T35" s="267"/>
      <c r="U35" s="268"/>
      <c r="V35" s="266"/>
      <c r="W35" s="267"/>
      <c r="X35" s="267"/>
      <c r="Y35" s="267"/>
      <c r="Z35" s="267"/>
      <c r="AA35" s="268"/>
      <c r="AB35" s="284"/>
      <c r="AC35" s="285"/>
      <c r="AD35" s="285"/>
      <c r="AE35" s="285"/>
      <c r="AF35" s="285"/>
      <c r="AG35" s="286"/>
      <c r="AH35" s="275"/>
      <c r="AI35" s="276"/>
      <c r="AJ35" s="276"/>
      <c r="AK35" s="276"/>
      <c r="AL35" s="276"/>
      <c r="AM35" s="277"/>
      <c r="AN35" s="83"/>
      <c r="AO35" s="336"/>
      <c r="AP35" s="337"/>
      <c r="AQ35" s="337"/>
      <c r="AR35" s="337"/>
      <c r="AS35" s="337"/>
      <c r="AT35" s="33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35">
      <c r="A36" s="83"/>
      <c r="B36" s="304"/>
      <c r="C36" s="304"/>
      <c r="D36" s="305"/>
      <c r="E36" s="297"/>
      <c r="F36" s="298"/>
      <c r="G36" s="298"/>
      <c r="H36" s="298"/>
      <c r="I36" s="298"/>
      <c r="J36" s="257" t="str">
        <f ca="1">IF(AND('Mapa final'!$J$53="Baja",'Mapa final'!$N$53="Leve"),CONCATENATE("R",'Mapa final'!$A$53),"")</f>
        <v/>
      </c>
      <c r="K36" s="258"/>
      <c r="L36" s="258" t="str">
        <f>IF(AND('Mapa final'!$J$59="Baja",'Mapa final'!$N$59="Leve"),CONCATENATE("R",'Mapa final'!$A$59),"")</f>
        <v/>
      </c>
      <c r="M36" s="258"/>
      <c r="N36" s="258" t="str">
        <f>IF(AND('Mapa final'!$J$65="Baja",'Mapa final'!$N$65="Leve"),CONCATENATE("R",'Mapa final'!$A$65),"")</f>
        <v/>
      </c>
      <c r="O36" s="259"/>
      <c r="P36" s="267" t="str">
        <f ca="1">IF(AND('Mapa final'!$J$53="Baja",'Mapa final'!$N$53="Menor"),CONCATENATE("R",'Mapa final'!$A$53),"")</f>
        <v/>
      </c>
      <c r="Q36" s="267"/>
      <c r="R36" s="267" t="str">
        <f>IF(AND('Mapa final'!$J$59="Baja",'Mapa final'!$N$59="Menor"),CONCATENATE("R",'Mapa final'!$A$59),"")</f>
        <v/>
      </c>
      <c r="S36" s="267"/>
      <c r="T36" s="267" t="str">
        <f>IF(AND('Mapa final'!$J$65="Baja",'Mapa final'!$N$65="Menor"),CONCATENATE("R",'Mapa final'!$A$65),"")</f>
        <v/>
      </c>
      <c r="U36" s="268"/>
      <c r="V36" s="266" t="str">
        <f ca="1">IF(AND('Mapa final'!$J$53="Baja",'Mapa final'!$N$53="Moderado"),CONCATENATE("R",'Mapa final'!$A$53),"")</f>
        <v/>
      </c>
      <c r="W36" s="267"/>
      <c r="X36" s="267" t="str">
        <f>IF(AND('Mapa final'!$J$59="Baja",'Mapa final'!$N$59="Moderado"),CONCATENATE("R",'Mapa final'!$A$59),"")</f>
        <v/>
      </c>
      <c r="Y36" s="267"/>
      <c r="Z36" s="267" t="str">
        <f>IF(AND('Mapa final'!$J$65="Baja",'Mapa final'!$N$65="Moderado"),CONCATENATE("R",'Mapa final'!$A$65),"")</f>
        <v/>
      </c>
      <c r="AA36" s="268"/>
      <c r="AB36" s="284" t="str">
        <f ca="1">IF(AND('Mapa final'!$J$53="Baja",'Mapa final'!$N$53="Mayor"),CONCATENATE("R",'Mapa final'!$A$53),"")</f>
        <v/>
      </c>
      <c r="AC36" s="285"/>
      <c r="AD36" s="285" t="str">
        <f>IF(AND('Mapa final'!$J$59="Baja",'Mapa final'!$N$59="Mayor"),CONCATENATE("R",'Mapa final'!$A$59),"")</f>
        <v/>
      </c>
      <c r="AE36" s="285"/>
      <c r="AF36" s="285" t="str">
        <f>IF(AND('Mapa final'!$J$65="Baja",'Mapa final'!$N$65="Mayor"),CONCATENATE("R",'Mapa final'!$A$65),"")</f>
        <v/>
      </c>
      <c r="AG36" s="286"/>
      <c r="AH36" s="275" t="str">
        <f ca="1">IF(AND('Mapa final'!$J$53="Baja",'Mapa final'!$N$53="Catastrófico"),CONCATENATE("R",'Mapa final'!$A$53),"")</f>
        <v/>
      </c>
      <c r="AI36" s="276"/>
      <c r="AJ36" s="276" t="str">
        <f>IF(AND('Mapa final'!$J$59="Baja",'Mapa final'!$N$59="Catastrófico"),CONCATENATE("R",'Mapa final'!$A$59),"")</f>
        <v/>
      </c>
      <c r="AK36" s="276"/>
      <c r="AL36" s="276" t="str">
        <f>IF(AND('Mapa final'!$J$65="Baja",'Mapa final'!$N$65="Catastrófico"),CONCATENATE("R",'Mapa final'!$A$65),"")</f>
        <v/>
      </c>
      <c r="AM36" s="277"/>
      <c r="AN36" s="83"/>
      <c r="AO36" s="336"/>
      <c r="AP36" s="337"/>
      <c r="AQ36" s="337"/>
      <c r="AR36" s="337"/>
      <c r="AS36" s="337"/>
      <c r="AT36" s="33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x14ac:dyDescent="0.4">
      <c r="A37" s="83"/>
      <c r="B37" s="304"/>
      <c r="C37" s="304"/>
      <c r="D37" s="305"/>
      <c r="E37" s="300"/>
      <c r="F37" s="301"/>
      <c r="G37" s="301"/>
      <c r="H37" s="301"/>
      <c r="I37" s="301"/>
      <c r="J37" s="260"/>
      <c r="K37" s="261"/>
      <c r="L37" s="261"/>
      <c r="M37" s="261"/>
      <c r="N37" s="261"/>
      <c r="O37" s="262"/>
      <c r="P37" s="270"/>
      <c r="Q37" s="270"/>
      <c r="R37" s="270"/>
      <c r="S37" s="270"/>
      <c r="T37" s="270"/>
      <c r="U37" s="271"/>
      <c r="V37" s="269"/>
      <c r="W37" s="270"/>
      <c r="X37" s="270"/>
      <c r="Y37" s="270"/>
      <c r="Z37" s="270"/>
      <c r="AA37" s="271"/>
      <c r="AB37" s="287"/>
      <c r="AC37" s="288"/>
      <c r="AD37" s="288"/>
      <c r="AE37" s="288"/>
      <c r="AF37" s="288"/>
      <c r="AG37" s="289"/>
      <c r="AH37" s="278"/>
      <c r="AI37" s="279"/>
      <c r="AJ37" s="279"/>
      <c r="AK37" s="279"/>
      <c r="AL37" s="279"/>
      <c r="AM37" s="280"/>
      <c r="AN37" s="83"/>
      <c r="AO37" s="339"/>
      <c r="AP37" s="340"/>
      <c r="AQ37" s="340"/>
      <c r="AR37" s="340"/>
      <c r="AS37" s="340"/>
      <c r="AT37" s="34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35">
      <c r="A38" s="83"/>
      <c r="B38" s="304"/>
      <c r="C38" s="304"/>
      <c r="D38" s="305"/>
      <c r="E38" s="294" t="s">
        <v>105</v>
      </c>
      <c r="F38" s="295"/>
      <c r="G38" s="295"/>
      <c r="H38" s="295"/>
      <c r="I38" s="296"/>
      <c r="J38" s="263" t="str">
        <f ca="1">IF(AND('Mapa final'!$J$11="Muy Baja",'Mapa final'!$N$11="Leve"),CONCATENATE("R",'Mapa final'!$A$11),"")</f>
        <v/>
      </c>
      <c r="K38" s="264"/>
      <c r="L38" s="264" t="e">
        <f>IF(AND('Mapa final'!#REF!="Muy Baja",'Mapa final'!#REF!="Leve"),CONCATENATE("R",'Mapa final'!#REF!),"")</f>
        <v>#REF!</v>
      </c>
      <c r="M38" s="264"/>
      <c r="N38" s="264" t="e">
        <f>IF(AND('Mapa final'!#REF!="Muy Baja",'Mapa final'!#REF!="Leve"),CONCATENATE("R",'Mapa final'!#REF!),"")</f>
        <v>#REF!</v>
      </c>
      <c r="O38" s="265"/>
      <c r="P38" s="263" t="str">
        <f ca="1">IF(AND('Mapa final'!$J$11="Muy Baja",'Mapa final'!$N$11="Menor"),CONCATENATE("R",'Mapa final'!$A$11),"")</f>
        <v/>
      </c>
      <c r="Q38" s="264"/>
      <c r="R38" s="264" t="e">
        <f>IF(AND('Mapa final'!#REF!="Muy Baja",'Mapa final'!#REF!="Menor"),CONCATENATE("R",'Mapa final'!#REF!),"")</f>
        <v>#REF!</v>
      </c>
      <c r="S38" s="264"/>
      <c r="T38" s="264" t="e">
        <f>IF(AND('Mapa final'!#REF!="Muy Baja",'Mapa final'!#REF!="Menor"),CONCATENATE("R",'Mapa final'!#REF!),"")</f>
        <v>#REF!</v>
      </c>
      <c r="U38" s="265"/>
      <c r="V38" s="272" t="str">
        <f ca="1">IF(AND('Mapa final'!$J$11="Muy Baja",'Mapa final'!$N$11="Moderado"),CONCATENATE("R",'Mapa final'!$A$11),"")</f>
        <v/>
      </c>
      <c r="W38" s="273"/>
      <c r="X38" s="273" t="e">
        <f>IF(AND('Mapa final'!#REF!="Muy Baja",'Mapa final'!#REF!="Moderado"),CONCATENATE("R",'Mapa final'!#REF!),"")</f>
        <v>#REF!</v>
      </c>
      <c r="Y38" s="273"/>
      <c r="Z38" s="273" t="e">
        <f>IF(AND('Mapa final'!#REF!="Muy Baja",'Mapa final'!#REF!="Moderado"),CONCATENATE("R",'Mapa final'!#REF!),"")</f>
        <v>#REF!</v>
      </c>
      <c r="AA38" s="274"/>
      <c r="AB38" s="290" t="str">
        <f ca="1">IF(AND('Mapa final'!$J$11="Muy Baja",'Mapa final'!$N$11="Mayor"),CONCATENATE("R",'Mapa final'!$A$11),"")</f>
        <v/>
      </c>
      <c r="AC38" s="291"/>
      <c r="AD38" s="291" t="e">
        <f>IF(AND('Mapa final'!#REF!="Muy Baja",'Mapa final'!#REF!="Mayor"),CONCATENATE("R",'Mapa final'!#REF!),"")</f>
        <v>#REF!</v>
      </c>
      <c r="AE38" s="291"/>
      <c r="AF38" s="291" t="e">
        <f>IF(AND('Mapa final'!#REF!="Muy Baja",'Mapa final'!#REF!="Mayor"),CONCATENATE("R",'Mapa final'!#REF!),"")</f>
        <v>#REF!</v>
      </c>
      <c r="AG38" s="292"/>
      <c r="AH38" s="281" t="str">
        <f ca="1">IF(AND('Mapa final'!$J$11="Muy Baja",'Mapa final'!$N$11="Catastrófico"),CONCATENATE("R",'Mapa final'!$A$11),"")</f>
        <v/>
      </c>
      <c r="AI38" s="282"/>
      <c r="AJ38" s="282" t="e">
        <f>IF(AND('Mapa final'!#REF!="Muy Baja",'Mapa final'!#REF!="Catastrófico"),CONCATENATE("R",'Mapa final'!#REF!),"")</f>
        <v>#REF!</v>
      </c>
      <c r="AK38" s="282"/>
      <c r="AL38" s="282" t="e">
        <f>IF(AND('Mapa final'!#REF!="Muy Baja",'Mapa final'!#REF!="Catastrófico"),CONCATENATE("R",'Mapa final'!#REF!),"")</f>
        <v>#REF!</v>
      </c>
      <c r="AM38" s="2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35">
      <c r="A39" s="83"/>
      <c r="B39" s="304"/>
      <c r="C39" s="304"/>
      <c r="D39" s="305"/>
      <c r="E39" s="297"/>
      <c r="F39" s="298"/>
      <c r="G39" s="298"/>
      <c r="H39" s="298"/>
      <c r="I39" s="299"/>
      <c r="J39" s="257"/>
      <c r="K39" s="258"/>
      <c r="L39" s="258"/>
      <c r="M39" s="258"/>
      <c r="N39" s="258"/>
      <c r="O39" s="259"/>
      <c r="P39" s="257"/>
      <c r="Q39" s="258"/>
      <c r="R39" s="258"/>
      <c r="S39" s="258"/>
      <c r="T39" s="258"/>
      <c r="U39" s="259"/>
      <c r="V39" s="266"/>
      <c r="W39" s="267"/>
      <c r="X39" s="267"/>
      <c r="Y39" s="267"/>
      <c r="Z39" s="267"/>
      <c r="AA39" s="268"/>
      <c r="AB39" s="284"/>
      <c r="AC39" s="285"/>
      <c r="AD39" s="285"/>
      <c r="AE39" s="285"/>
      <c r="AF39" s="285"/>
      <c r="AG39" s="286"/>
      <c r="AH39" s="275"/>
      <c r="AI39" s="276"/>
      <c r="AJ39" s="276"/>
      <c r="AK39" s="276"/>
      <c r="AL39" s="276"/>
      <c r="AM39" s="27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35">
      <c r="A40" s="83"/>
      <c r="B40" s="304"/>
      <c r="C40" s="304"/>
      <c r="D40" s="305"/>
      <c r="E40" s="297"/>
      <c r="F40" s="298"/>
      <c r="G40" s="298"/>
      <c r="H40" s="298"/>
      <c r="I40" s="299"/>
      <c r="J40" s="257" t="str">
        <f ca="1">IF(AND('Mapa final'!$J$17="Muy Baja",'Mapa final'!$N$17="Leve"),CONCATENATE("R",'Mapa final'!$A$17),"")</f>
        <v/>
      </c>
      <c r="K40" s="258"/>
      <c r="L40" s="258" t="str">
        <f ca="1">IF(AND('Mapa final'!$J$23="Muy Baja",'Mapa final'!$N$23="Leve"),CONCATENATE("R",'Mapa final'!$A$23),"")</f>
        <v/>
      </c>
      <c r="M40" s="258"/>
      <c r="N40" s="258" t="str">
        <f ca="1">IF(AND('Mapa final'!$J$29="Muy Baja",'Mapa final'!$N$29="Leve"),CONCATENATE("R",'Mapa final'!$A$29),"")</f>
        <v/>
      </c>
      <c r="O40" s="259"/>
      <c r="P40" s="257" t="str">
        <f ca="1">IF(AND('Mapa final'!$J$17="Muy Baja",'Mapa final'!$N$17="Menor"),CONCATENATE("R",'Mapa final'!$A$17),"")</f>
        <v/>
      </c>
      <c r="Q40" s="258"/>
      <c r="R40" s="258" t="str">
        <f ca="1">IF(AND('Mapa final'!$J$23="Muy Baja",'Mapa final'!$N$23="Menor"),CONCATENATE("R",'Mapa final'!$A$23),"")</f>
        <v/>
      </c>
      <c r="S40" s="258"/>
      <c r="T40" s="258" t="str">
        <f ca="1">IF(AND('Mapa final'!$J$29="Muy Baja",'Mapa final'!$N$29="Menor"),CONCATENATE("R",'Mapa final'!$A$29),"")</f>
        <v/>
      </c>
      <c r="U40" s="259"/>
      <c r="V40" s="266" t="str">
        <f ca="1">IF(AND('Mapa final'!$J$17="Muy Baja",'Mapa final'!$N$17="Moderado"),CONCATENATE("R",'Mapa final'!$A$17),"")</f>
        <v/>
      </c>
      <c r="W40" s="267"/>
      <c r="X40" s="267" t="str">
        <f ca="1">IF(AND('Mapa final'!$J$23="Muy Baja",'Mapa final'!$N$23="Moderado"),CONCATENATE("R",'Mapa final'!$A$23),"")</f>
        <v/>
      </c>
      <c r="Y40" s="267"/>
      <c r="Z40" s="267" t="str">
        <f ca="1">IF(AND('Mapa final'!$J$29="Muy Baja",'Mapa final'!$N$29="Moderado"),CONCATENATE("R",'Mapa final'!$A$29),"")</f>
        <v/>
      </c>
      <c r="AA40" s="268"/>
      <c r="AB40" s="284" t="str">
        <f ca="1">IF(AND('Mapa final'!$J$17="Muy Baja",'Mapa final'!$N$17="Mayor"),CONCATENATE("R",'Mapa final'!$A$17),"")</f>
        <v/>
      </c>
      <c r="AC40" s="285"/>
      <c r="AD40" s="285" t="str">
        <f ca="1">IF(AND('Mapa final'!$J$23="Muy Baja",'Mapa final'!$N$23="Mayor"),CONCATENATE("R",'Mapa final'!$A$23),"")</f>
        <v/>
      </c>
      <c r="AE40" s="285"/>
      <c r="AF40" s="285" t="str">
        <f ca="1">IF(AND('Mapa final'!$J$29="Muy Baja",'Mapa final'!$N$29="Mayor"),CONCATENATE("R",'Mapa final'!$A$29),"")</f>
        <v/>
      </c>
      <c r="AG40" s="286"/>
      <c r="AH40" s="275" t="str">
        <f ca="1">IF(AND('Mapa final'!$J$17="Muy Baja",'Mapa final'!$N$17="Catastrófico"),CONCATENATE("R",'Mapa final'!$A$17),"")</f>
        <v/>
      </c>
      <c r="AI40" s="276"/>
      <c r="AJ40" s="276" t="str">
        <f ca="1">IF(AND('Mapa final'!$J$23="Muy Baja",'Mapa final'!$N$23="Catastrófico"),CONCATENATE("R",'Mapa final'!$A$23),"")</f>
        <v/>
      </c>
      <c r="AK40" s="276"/>
      <c r="AL40" s="276" t="str">
        <f ca="1">IF(AND('Mapa final'!$J$29="Muy Baja",'Mapa final'!$N$29="Catastrófico"),CONCATENATE("R",'Mapa final'!$A$29),"")</f>
        <v/>
      </c>
      <c r="AM40" s="27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35">
      <c r="A41" s="83"/>
      <c r="B41" s="304"/>
      <c r="C41" s="304"/>
      <c r="D41" s="305"/>
      <c r="E41" s="297"/>
      <c r="F41" s="298"/>
      <c r="G41" s="298"/>
      <c r="H41" s="298"/>
      <c r="I41" s="299"/>
      <c r="J41" s="257"/>
      <c r="K41" s="258"/>
      <c r="L41" s="258"/>
      <c r="M41" s="258"/>
      <c r="N41" s="258"/>
      <c r="O41" s="259"/>
      <c r="P41" s="257"/>
      <c r="Q41" s="258"/>
      <c r="R41" s="258"/>
      <c r="S41" s="258"/>
      <c r="T41" s="258"/>
      <c r="U41" s="259"/>
      <c r="V41" s="266"/>
      <c r="W41" s="267"/>
      <c r="X41" s="267"/>
      <c r="Y41" s="267"/>
      <c r="Z41" s="267"/>
      <c r="AA41" s="268"/>
      <c r="AB41" s="284"/>
      <c r="AC41" s="285"/>
      <c r="AD41" s="285"/>
      <c r="AE41" s="285"/>
      <c r="AF41" s="285"/>
      <c r="AG41" s="286"/>
      <c r="AH41" s="275"/>
      <c r="AI41" s="276"/>
      <c r="AJ41" s="276"/>
      <c r="AK41" s="276"/>
      <c r="AL41" s="276"/>
      <c r="AM41" s="27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35">
      <c r="A42" s="83"/>
      <c r="B42" s="304"/>
      <c r="C42" s="304"/>
      <c r="D42" s="305"/>
      <c r="E42" s="297"/>
      <c r="F42" s="298"/>
      <c r="G42" s="298"/>
      <c r="H42" s="298"/>
      <c r="I42" s="299"/>
      <c r="J42" s="257" t="str">
        <f ca="1">IF(AND('Mapa final'!$J$35="Muy Baja",'Mapa final'!$N$35="Leve"),CONCATENATE("R",'Mapa final'!$A$35),"")</f>
        <v/>
      </c>
      <c r="K42" s="258"/>
      <c r="L42" s="258" t="str">
        <f ca="1">IF(AND('Mapa final'!$J$41="Muy Baja",'Mapa final'!$N$41="Leve"),CONCATENATE("R",'Mapa final'!$A$41),"")</f>
        <v/>
      </c>
      <c r="M42" s="258"/>
      <c r="N42" s="258" t="str">
        <f ca="1">IF(AND('Mapa final'!$J$47="Muy Baja",'Mapa final'!$N$47="Leve"),CONCATENATE("R",'Mapa final'!$A$47),"")</f>
        <v/>
      </c>
      <c r="O42" s="259"/>
      <c r="P42" s="257" t="str">
        <f ca="1">IF(AND('Mapa final'!$J$35="Muy Baja",'Mapa final'!$N$35="Menor"),CONCATENATE("R",'Mapa final'!$A$35),"")</f>
        <v/>
      </c>
      <c r="Q42" s="258"/>
      <c r="R42" s="258" t="str">
        <f ca="1">IF(AND('Mapa final'!$J$41="Muy Baja",'Mapa final'!$N$41="Menor"),CONCATENATE("R",'Mapa final'!$A$41),"")</f>
        <v/>
      </c>
      <c r="S42" s="258"/>
      <c r="T42" s="258" t="str">
        <f ca="1">IF(AND('Mapa final'!$J$47="Muy Baja",'Mapa final'!$N$47="Menor"),CONCATENATE("R",'Mapa final'!$A$47),"")</f>
        <v/>
      </c>
      <c r="U42" s="259"/>
      <c r="V42" s="266" t="str">
        <f ca="1">IF(AND('Mapa final'!$J$35="Muy Baja",'Mapa final'!$N$35="Moderado"),CONCATENATE("R",'Mapa final'!$A$35),"")</f>
        <v/>
      </c>
      <c r="W42" s="267"/>
      <c r="X42" s="267" t="str">
        <f ca="1">IF(AND('Mapa final'!$J$41="Muy Baja",'Mapa final'!$N$41="Moderado"),CONCATENATE("R",'Mapa final'!$A$41),"")</f>
        <v/>
      </c>
      <c r="Y42" s="267"/>
      <c r="Z42" s="267" t="str">
        <f ca="1">IF(AND('Mapa final'!$J$47="Muy Baja",'Mapa final'!$N$47="Moderado"),CONCATENATE("R",'Mapa final'!$A$47),"")</f>
        <v/>
      </c>
      <c r="AA42" s="268"/>
      <c r="AB42" s="284" t="str">
        <f ca="1">IF(AND('Mapa final'!$J$35="Muy Baja",'Mapa final'!$N$35="Mayor"),CONCATENATE("R",'Mapa final'!$A$35),"")</f>
        <v/>
      </c>
      <c r="AC42" s="285"/>
      <c r="AD42" s="285" t="str">
        <f ca="1">IF(AND('Mapa final'!$J$41="Muy Baja",'Mapa final'!$N$41="Mayor"),CONCATENATE("R",'Mapa final'!$A$41),"")</f>
        <v/>
      </c>
      <c r="AE42" s="285"/>
      <c r="AF42" s="285" t="str">
        <f ca="1">IF(AND('Mapa final'!$J$47="Muy Baja",'Mapa final'!$N$47="Mayor"),CONCATENATE("R",'Mapa final'!$A$47),"")</f>
        <v/>
      </c>
      <c r="AG42" s="286"/>
      <c r="AH42" s="275" t="str">
        <f ca="1">IF(AND('Mapa final'!$J$35="Muy Baja",'Mapa final'!$N$35="Catastrófico"),CONCATENATE("R",'Mapa final'!$A$35),"")</f>
        <v/>
      </c>
      <c r="AI42" s="276"/>
      <c r="AJ42" s="276" t="str">
        <f ca="1">IF(AND('Mapa final'!$J$41="Muy Baja",'Mapa final'!$N$41="Catastrófico"),CONCATENATE("R",'Mapa final'!$A$41),"")</f>
        <v/>
      </c>
      <c r="AK42" s="276"/>
      <c r="AL42" s="276" t="str">
        <f ca="1">IF(AND('Mapa final'!$J$47="Muy Baja",'Mapa final'!$N$47="Catastrófico"),CONCATENATE("R",'Mapa final'!$A$47),"")</f>
        <v/>
      </c>
      <c r="AM42" s="27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35">
      <c r="A43" s="83"/>
      <c r="B43" s="304"/>
      <c r="C43" s="304"/>
      <c r="D43" s="305"/>
      <c r="E43" s="297"/>
      <c r="F43" s="298"/>
      <c r="G43" s="298"/>
      <c r="H43" s="298"/>
      <c r="I43" s="299"/>
      <c r="J43" s="257"/>
      <c r="K43" s="258"/>
      <c r="L43" s="258"/>
      <c r="M43" s="258"/>
      <c r="N43" s="258"/>
      <c r="O43" s="259"/>
      <c r="P43" s="257"/>
      <c r="Q43" s="258"/>
      <c r="R43" s="258"/>
      <c r="S43" s="258"/>
      <c r="T43" s="258"/>
      <c r="U43" s="259"/>
      <c r="V43" s="266"/>
      <c r="W43" s="267"/>
      <c r="X43" s="267"/>
      <c r="Y43" s="267"/>
      <c r="Z43" s="267"/>
      <c r="AA43" s="268"/>
      <c r="AB43" s="284"/>
      <c r="AC43" s="285"/>
      <c r="AD43" s="285"/>
      <c r="AE43" s="285"/>
      <c r="AF43" s="285"/>
      <c r="AG43" s="286"/>
      <c r="AH43" s="275"/>
      <c r="AI43" s="276"/>
      <c r="AJ43" s="276"/>
      <c r="AK43" s="276"/>
      <c r="AL43" s="276"/>
      <c r="AM43" s="27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35">
      <c r="A44" s="83"/>
      <c r="B44" s="304"/>
      <c r="C44" s="304"/>
      <c r="D44" s="305"/>
      <c r="E44" s="297"/>
      <c r="F44" s="298"/>
      <c r="G44" s="298"/>
      <c r="H44" s="298"/>
      <c r="I44" s="299"/>
      <c r="J44" s="257" t="str">
        <f ca="1">IF(AND('Mapa final'!$J$53="Muy Baja",'Mapa final'!$N$53="Leve"),CONCATENATE("R",'Mapa final'!$A$53),"")</f>
        <v/>
      </c>
      <c r="K44" s="258"/>
      <c r="L44" s="258" t="str">
        <f>IF(AND('Mapa final'!$J$59="Muy Baja",'Mapa final'!$N$59="Leve"),CONCATENATE("R",'Mapa final'!$A$59),"")</f>
        <v/>
      </c>
      <c r="M44" s="258"/>
      <c r="N44" s="258" t="str">
        <f>IF(AND('Mapa final'!$J$65="Muy Baja",'Mapa final'!$N$65="Leve"),CONCATENATE("R",'Mapa final'!$A$65),"")</f>
        <v/>
      </c>
      <c r="O44" s="259"/>
      <c r="P44" s="257" t="str">
        <f ca="1">IF(AND('Mapa final'!$J$53="Muy Baja",'Mapa final'!$N$53="Menor"),CONCATENATE("R",'Mapa final'!$A$53),"")</f>
        <v/>
      </c>
      <c r="Q44" s="258"/>
      <c r="R44" s="258" t="str">
        <f>IF(AND('Mapa final'!$J$59="Muy Baja",'Mapa final'!$N$59="Menor"),CONCATENATE("R",'Mapa final'!$A$59),"")</f>
        <v/>
      </c>
      <c r="S44" s="258"/>
      <c r="T44" s="258" t="str">
        <f>IF(AND('Mapa final'!$J$65="Muy Baja",'Mapa final'!$N$65="Menor"),CONCATENATE("R",'Mapa final'!$A$65),"")</f>
        <v/>
      </c>
      <c r="U44" s="259"/>
      <c r="V44" s="266" t="str">
        <f ca="1">IF(AND('Mapa final'!$J$53="Muy Baja",'Mapa final'!$N$53="Moderado"),CONCATENATE("R",'Mapa final'!$A$53),"")</f>
        <v/>
      </c>
      <c r="W44" s="267"/>
      <c r="X44" s="267" t="str">
        <f>IF(AND('Mapa final'!$J$59="Muy Baja",'Mapa final'!$N$59="Moderado"),CONCATENATE("R",'Mapa final'!$A$59),"")</f>
        <v/>
      </c>
      <c r="Y44" s="267"/>
      <c r="Z44" s="267" t="str">
        <f>IF(AND('Mapa final'!$J$65="Muy Baja",'Mapa final'!$N$65="Moderado"),CONCATENATE("R",'Mapa final'!$A$65),"")</f>
        <v/>
      </c>
      <c r="AA44" s="268"/>
      <c r="AB44" s="284" t="str">
        <f ca="1">IF(AND('Mapa final'!$J$53="Muy Baja",'Mapa final'!$N$53="Mayor"),CONCATENATE("R",'Mapa final'!$A$53),"")</f>
        <v/>
      </c>
      <c r="AC44" s="285"/>
      <c r="AD44" s="285" t="str">
        <f>IF(AND('Mapa final'!$J$59="Muy Baja",'Mapa final'!$N$59="Mayor"),CONCATENATE("R",'Mapa final'!$A$59),"")</f>
        <v/>
      </c>
      <c r="AE44" s="285"/>
      <c r="AF44" s="285" t="str">
        <f>IF(AND('Mapa final'!$J$65="Muy Baja",'Mapa final'!$N$65="Mayor"),CONCATENATE("R",'Mapa final'!$A$65),"")</f>
        <v/>
      </c>
      <c r="AG44" s="286"/>
      <c r="AH44" s="275" t="str">
        <f ca="1">IF(AND('Mapa final'!$J$53="Muy Baja",'Mapa final'!$N$53="Catastrófico"),CONCATENATE("R",'Mapa final'!$A$53),"")</f>
        <v/>
      </c>
      <c r="AI44" s="276"/>
      <c r="AJ44" s="276" t="str">
        <f>IF(AND('Mapa final'!$J$59="Muy Baja",'Mapa final'!$N$59="Catastrófico"),CONCATENATE("R",'Mapa final'!$A$59),"")</f>
        <v/>
      </c>
      <c r="AK44" s="276"/>
      <c r="AL44" s="276" t="str">
        <f>IF(AND('Mapa final'!$J$65="Muy Baja",'Mapa final'!$N$65="Catastrófico"),CONCATENATE("R",'Mapa final'!$A$65),"")</f>
        <v/>
      </c>
      <c r="AM44" s="27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x14ac:dyDescent="0.4">
      <c r="A45" s="83"/>
      <c r="B45" s="304"/>
      <c r="C45" s="304"/>
      <c r="D45" s="305"/>
      <c r="E45" s="300"/>
      <c r="F45" s="301"/>
      <c r="G45" s="301"/>
      <c r="H45" s="301"/>
      <c r="I45" s="302"/>
      <c r="J45" s="260"/>
      <c r="K45" s="261"/>
      <c r="L45" s="261"/>
      <c r="M45" s="261"/>
      <c r="N45" s="261"/>
      <c r="O45" s="262"/>
      <c r="P45" s="260"/>
      <c r="Q45" s="261"/>
      <c r="R45" s="261"/>
      <c r="S45" s="261"/>
      <c r="T45" s="261"/>
      <c r="U45" s="262"/>
      <c r="V45" s="269"/>
      <c r="W45" s="270"/>
      <c r="X45" s="270"/>
      <c r="Y45" s="270"/>
      <c r="Z45" s="270"/>
      <c r="AA45" s="271"/>
      <c r="AB45" s="287"/>
      <c r="AC45" s="288"/>
      <c r="AD45" s="288"/>
      <c r="AE45" s="288"/>
      <c r="AF45" s="288"/>
      <c r="AG45" s="289"/>
      <c r="AH45" s="278"/>
      <c r="AI45" s="279"/>
      <c r="AJ45" s="279"/>
      <c r="AK45" s="279"/>
      <c r="AL45" s="279"/>
      <c r="AM45" s="28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35">
      <c r="A46" s="83"/>
      <c r="B46" s="83"/>
      <c r="C46" s="83"/>
      <c r="D46" s="83"/>
      <c r="E46" s="83"/>
      <c r="F46" s="83"/>
      <c r="G46" s="83"/>
      <c r="H46" s="83"/>
      <c r="I46" s="83"/>
      <c r="J46" s="294" t="s">
        <v>104</v>
      </c>
      <c r="K46" s="295"/>
      <c r="L46" s="295"/>
      <c r="M46" s="295"/>
      <c r="N46" s="295"/>
      <c r="O46" s="296"/>
      <c r="P46" s="294" t="s">
        <v>103</v>
      </c>
      <c r="Q46" s="295"/>
      <c r="R46" s="295"/>
      <c r="S46" s="295"/>
      <c r="T46" s="295"/>
      <c r="U46" s="296"/>
      <c r="V46" s="294" t="s">
        <v>102</v>
      </c>
      <c r="W46" s="295"/>
      <c r="X46" s="295"/>
      <c r="Y46" s="295"/>
      <c r="Z46" s="295"/>
      <c r="AA46" s="296"/>
      <c r="AB46" s="294" t="s">
        <v>101</v>
      </c>
      <c r="AC46" s="303"/>
      <c r="AD46" s="295"/>
      <c r="AE46" s="295"/>
      <c r="AF46" s="295"/>
      <c r="AG46" s="296"/>
      <c r="AH46" s="294" t="s">
        <v>100</v>
      </c>
      <c r="AI46" s="295"/>
      <c r="AJ46" s="295"/>
      <c r="AK46" s="295"/>
      <c r="AL46" s="295"/>
      <c r="AM46" s="29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35">
      <c r="A47" s="83"/>
      <c r="B47" s="83"/>
      <c r="C47" s="83"/>
      <c r="D47" s="83"/>
      <c r="E47" s="83"/>
      <c r="F47" s="83"/>
      <c r="G47" s="83"/>
      <c r="H47" s="83"/>
      <c r="I47" s="83"/>
      <c r="J47" s="297"/>
      <c r="K47" s="298"/>
      <c r="L47" s="298"/>
      <c r="M47" s="298"/>
      <c r="N47" s="298"/>
      <c r="O47" s="299"/>
      <c r="P47" s="297"/>
      <c r="Q47" s="298"/>
      <c r="R47" s="298"/>
      <c r="S47" s="298"/>
      <c r="T47" s="298"/>
      <c r="U47" s="299"/>
      <c r="V47" s="297"/>
      <c r="W47" s="298"/>
      <c r="X47" s="298"/>
      <c r="Y47" s="298"/>
      <c r="Z47" s="298"/>
      <c r="AA47" s="299"/>
      <c r="AB47" s="297"/>
      <c r="AC47" s="298"/>
      <c r="AD47" s="298"/>
      <c r="AE47" s="298"/>
      <c r="AF47" s="298"/>
      <c r="AG47" s="299"/>
      <c r="AH47" s="297"/>
      <c r="AI47" s="298"/>
      <c r="AJ47" s="298"/>
      <c r="AK47" s="298"/>
      <c r="AL47" s="298"/>
      <c r="AM47" s="29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35">
      <c r="A48" s="83"/>
      <c r="B48" s="83"/>
      <c r="C48" s="83"/>
      <c r="D48" s="83"/>
      <c r="E48" s="83"/>
      <c r="F48" s="83"/>
      <c r="G48" s="83"/>
      <c r="H48" s="83"/>
      <c r="I48" s="83"/>
      <c r="J48" s="297"/>
      <c r="K48" s="298"/>
      <c r="L48" s="298"/>
      <c r="M48" s="298"/>
      <c r="N48" s="298"/>
      <c r="O48" s="299"/>
      <c r="P48" s="297"/>
      <c r="Q48" s="298"/>
      <c r="R48" s="298"/>
      <c r="S48" s="298"/>
      <c r="T48" s="298"/>
      <c r="U48" s="299"/>
      <c r="V48" s="297"/>
      <c r="W48" s="298"/>
      <c r="X48" s="298"/>
      <c r="Y48" s="298"/>
      <c r="Z48" s="298"/>
      <c r="AA48" s="299"/>
      <c r="AB48" s="297"/>
      <c r="AC48" s="298"/>
      <c r="AD48" s="298"/>
      <c r="AE48" s="298"/>
      <c r="AF48" s="298"/>
      <c r="AG48" s="299"/>
      <c r="AH48" s="297"/>
      <c r="AI48" s="298"/>
      <c r="AJ48" s="298"/>
      <c r="AK48" s="298"/>
      <c r="AL48" s="298"/>
      <c r="AM48" s="29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35">
      <c r="A49" s="83"/>
      <c r="B49" s="83"/>
      <c r="C49" s="83"/>
      <c r="D49" s="83"/>
      <c r="E49" s="83"/>
      <c r="F49" s="83"/>
      <c r="G49" s="83"/>
      <c r="H49" s="83"/>
      <c r="I49" s="83"/>
      <c r="J49" s="297"/>
      <c r="K49" s="298"/>
      <c r="L49" s="298"/>
      <c r="M49" s="298"/>
      <c r="N49" s="298"/>
      <c r="O49" s="299"/>
      <c r="P49" s="297"/>
      <c r="Q49" s="298"/>
      <c r="R49" s="298"/>
      <c r="S49" s="298"/>
      <c r="T49" s="298"/>
      <c r="U49" s="299"/>
      <c r="V49" s="297"/>
      <c r="W49" s="298"/>
      <c r="X49" s="298"/>
      <c r="Y49" s="298"/>
      <c r="Z49" s="298"/>
      <c r="AA49" s="299"/>
      <c r="AB49" s="297"/>
      <c r="AC49" s="298"/>
      <c r="AD49" s="298"/>
      <c r="AE49" s="298"/>
      <c r="AF49" s="298"/>
      <c r="AG49" s="299"/>
      <c r="AH49" s="297"/>
      <c r="AI49" s="298"/>
      <c r="AJ49" s="298"/>
      <c r="AK49" s="298"/>
      <c r="AL49" s="298"/>
      <c r="AM49" s="29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35">
      <c r="A50" s="83"/>
      <c r="B50" s="83"/>
      <c r="C50" s="83"/>
      <c r="D50" s="83"/>
      <c r="E50" s="83"/>
      <c r="F50" s="83"/>
      <c r="G50" s="83"/>
      <c r="H50" s="83"/>
      <c r="I50" s="83"/>
      <c r="J50" s="297"/>
      <c r="K50" s="298"/>
      <c r="L50" s="298"/>
      <c r="M50" s="298"/>
      <c r="N50" s="298"/>
      <c r="O50" s="299"/>
      <c r="P50" s="297"/>
      <c r="Q50" s="298"/>
      <c r="R50" s="298"/>
      <c r="S50" s="298"/>
      <c r="T50" s="298"/>
      <c r="U50" s="299"/>
      <c r="V50" s="297"/>
      <c r="W50" s="298"/>
      <c r="X50" s="298"/>
      <c r="Y50" s="298"/>
      <c r="Z50" s="298"/>
      <c r="AA50" s="299"/>
      <c r="AB50" s="297"/>
      <c r="AC50" s="298"/>
      <c r="AD50" s="298"/>
      <c r="AE50" s="298"/>
      <c r="AF50" s="298"/>
      <c r="AG50" s="299"/>
      <c r="AH50" s="297"/>
      <c r="AI50" s="298"/>
      <c r="AJ50" s="298"/>
      <c r="AK50" s="298"/>
      <c r="AL50" s="298"/>
      <c r="AM50" s="29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x14ac:dyDescent="0.4">
      <c r="A51" s="83"/>
      <c r="B51" s="83"/>
      <c r="C51" s="83"/>
      <c r="D51" s="83"/>
      <c r="E51" s="83"/>
      <c r="F51" s="83"/>
      <c r="G51" s="83"/>
      <c r="H51" s="83"/>
      <c r="I51" s="83"/>
      <c r="J51" s="300"/>
      <c r="K51" s="301"/>
      <c r="L51" s="301"/>
      <c r="M51" s="301"/>
      <c r="N51" s="301"/>
      <c r="O51" s="302"/>
      <c r="P51" s="300"/>
      <c r="Q51" s="301"/>
      <c r="R51" s="301"/>
      <c r="S51" s="301"/>
      <c r="T51" s="301"/>
      <c r="U51" s="302"/>
      <c r="V51" s="300"/>
      <c r="W51" s="301"/>
      <c r="X51" s="301"/>
      <c r="Y51" s="301"/>
      <c r="Z51" s="301"/>
      <c r="AA51" s="302"/>
      <c r="AB51" s="300"/>
      <c r="AC51" s="301"/>
      <c r="AD51" s="301"/>
      <c r="AE51" s="301"/>
      <c r="AF51" s="301"/>
      <c r="AG51" s="302"/>
      <c r="AH51" s="300"/>
      <c r="AI51" s="301"/>
      <c r="AJ51" s="301"/>
      <c r="AK51" s="301"/>
      <c r="AL51" s="301"/>
      <c r="AM51" s="30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3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3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3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3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3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3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3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3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3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3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3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3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3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3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3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3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3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3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3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3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3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3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3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3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3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3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3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3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3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3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3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3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3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3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3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3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3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3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3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3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3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3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3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3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3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3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3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3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3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3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3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3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3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3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3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3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3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3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3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3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3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3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3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3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3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3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3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3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3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3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3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3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3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3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3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3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3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35">
      <c r="B137" s="83"/>
      <c r="C137" s="83"/>
      <c r="D137" s="83"/>
      <c r="E137" s="83"/>
      <c r="F137" s="83"/>
      <c r="G137" s="83"/>
      <c r="H137" s="83"/>
      <c r="I137" s="83"/>
    </row>
    <row r="138" spans="2:63" x14ac:dyDescent="0.35">
      <c r="B138" s="83"/>
      <c r="C138" s="83"/>
      <c r="D138" s="83"/>
      <c r="E138" s="83"/>
      <c r="F138" s="83"/>
      <c r="G138" s="83"/>
      <c r="H138" s="83"/>
      <c r="I138" s="83"/>
    </row>
    <row r="139" spans="2:63" x14ac:dyDescent="0.35">
      <c r="B139" s="83"/>
      <c r="C139" s="83"/>
      <c r="D139" s="83"/>
      <c r="E139" s="83"/>
      <c r="F139" s="83"/>
      <c r="G139" s="83"/>
      <c r="H139" s="83"/>
      <c r="I139" s="83"/>
    </row>
    <row r="140" spans="2:63" x14ac:dyDescent="0.3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2" sqref="B2:I4"/>
    </sheetView>
  </sheetViews>
  <sheetFormatPr baseColWidth="10" defaultRowHeight="14.5" x14ac:dyDescent="0.35"/>
  <cols>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35">
      <c r="A2" s="83"/>
      <c r="B2" s="371" t="s">
        <v>143</v>
      </c>
      <c r="C2" s="372"/>
      <c r="D2" s="372"/>
      <c r="E2" s="372"/>
      <c r="F2" s="372"/>
      <c r="G2" s="372"/>
      <c r="H2" s="372"/>
      <c r="I2" s="372"/>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35">
      <c r="A3" s="83"/>
      <c r="B3" s="372"/>
      <c r="C3" s="372"/>
      <c r="D3" s="372"/>
      <c r="E3" s="372"/>
      <c r="F3" s="372"/>
      <c r="G3" s="372"/>
      <c r="H3" s="372"/>
      <c r="I3" s="37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35">
      <c r="A4" s="83"/>
      <c r="B4" s="372"/>
      <c r="C4" s="372"/>
      <c r="D4" s="372"/>
      <c r="E4" s="372"/>
      <c r="F4" s="372"/>
      <c r="G4" s="372"/>
      <c r="H4" s="372"/>
      <c r="I4" s="372"/>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35">
      <c r="A6" s="83"/>
      <c r="B6" s="304" t="s">
        <v>3</v>
      </c>
      <c r="C6" s="304"/>
      <c r="D6" s="305"/>
      <c r="E6" s="342" t="s">
        <v>108</v>
      </c>
      <c r="F6" s="343"/>
      <c r="G6" s="343"/>
      <c r="H6" s="343"/>
      <c r="I6" s="344"/>
      <c r="J6" s="46" t="str">
        <f ca="1">IF(AND('Mapa final'!$AA$11="Muy Alta",'Mapa final'!$AC$11="Leve"),CONCATENATE("R1C",'Mapa final'!$Q$11),"")</f>
        <v/>
      </c>
      <c r="K6" s="47" t="str">
        <f>IF(AND('Mapa final'!$AA$12="Muy Alta",'Mapa final'!$AC$12="Leve"),CONCATENATE("R1C",'Mapa final'!$Q$12),"")</f>
        <v/>
      </c>
      <c r="L6" s="47" t="str">
        <f>IF(AND('Mapa final'!$AA$13="Muy Alta",'Mapa final'!$AC$13="Leve"),CONCATENATE("R1C",'Mapa final'!$Q$13),"")</f>
        <v/>
      </c>
      <c r="M6" s="47" t="str">
        <f>IF(AND('Mapa final'!$AA$14="Muy Alta",'Mapa final'!$AC$14="Leve"),CONCATENATE("R1C",'Mapa final'!$Q$14),"")</f>
        <v/>
      </c>
      <c r="N6" s="47" t="str">
        <f>IF(AND('Mapa final'!$AA$15="Muy Alta",'Mapa final'!$AC$15="Leve"),CONCATENATE("R1C",'Mapa final'!$Q$15),"")</f>
        <v/>
      </c>
      <c r="O6" s="48" t="str">
        <f>IF(AND('Mapa final'!$AA$16="Muy Alta",'Mapa final'!$AC$16="Leve"),CONCATENATE("R1C",'Mapa final'!$Q$16),"")</f>
        <v/>
      </c>
      <c r="P6" s="46" t="str">
        <f ca="1">IF(AND('Mapa final'!$AA$11="Muy Alta",'Mapa final'!$AC$11="Menor"),CONCATENATE("R1C",'Mapa final'!$Q$11),"")</f>
        <v/>
      </c>
      <c r="Q6" s="47" t="str">
        <f>IF(AND('Mapa final'!$AA$12="Muy Alta",'Mapa final'!$AC$12="Menor"),CONCATENATE("R1C",'Mapa final'!$Q$12),"")</f>
        <v/>
      </c>
      <c r="R6" s="47" t="str">
        <f>IF(AND('Mapa final'!$AA$13="Muy Alta",'Mapa final'!$AC$13="Menor"),CONCATENATE("R1C",'Mapa final'!$Q$13),"")</f>
        <v/>
      </c>
      <c r="S6" s="47" t="str">
        <f>IF(AND('Mapa final'!$AA$14="Muy Alta",'Mapa final'!$AC$14="Menor"),CONCATENATE("R1C",'Mapa final'!$Q$14),"")</f>
        <v/>
      </c>
      <c r="T6" s="47" t="str">
        <f>IF(AND('Mapa final'!$AA$15="Muy Alta",'Mapa final'!$AC$15="Menor"),CONCATENATE("R1C",'Mapa final'!$Q$15),"")</f>
        <v/>
      </c>
      <c r="U6" s="48" t="str">
        <f>IF(AND('Mapa final'!$AA$16="Muy Alta",'Mapa final'!$AC$16="Menor"),CONCATENATE("R1C",'Mapa final'!$Q$16),"")</f>
        <v/>
      </c>
      <c r="V6" s="46" t="str">
        <f ca="1">IF(AND('Mapa final'!$AA$11="Muy Alta",'Mapa final'!$AC$11="Moderado"),CONCATENATE("R1C",'Mapa final'!$Q$11),"")</f>
        <v/>
      </c>
      <c r="W6" s="47" t="str">
        <f>IF(AND('Mapa final'!$AA$12="Muy Alta",'Mapa final'!$AC$12="Moderado"),CONCATENATE("R1C",'Mapa final'!$Q$12),"")</f>
        <v/>
      </c>
      <c r="X6" s="47" t="str">
        <f>IF(AND('Mapa final'!$AA$13="Muy Alta",'Mapa final'!$AC$13="Moderado"),CONCATENATE("R1C",'Mapa final'!$Q$13),"")</f>
        <v/>
      </c>
      <c r="Y6" s="47" t="str">
        <f>IF(AND('Mapa final'!$AA$14="Muy Alta",'Mapa final'!$AC$14="Moderado"),CONCATENATE("R1C",'Mapa final'!$Q$14),"")</f>
        <v/>
      </c>
      <c r="Z6" s="47" t="str">
        <f>IF(AND('Mapa final'!$AA$15="Muy Alta",'Mapa final'!$AC$15="Moderado"),CONCATENATE("R1C",'Mapa final'!$Q$15),"")</f>
        <v/>
      </c>
      <c r="AA6" s="48" t="str">
        <f>IF(AND('Mapa final'!$AA$16="Muy Alta",'Mapa final'!$AC$16="Moderado"),CONCATENATE("R1C",'Mapa final'!$Q$16),"")</f>
        <v/>
      </c>
      <c r="AB6" s="46" t="str">
        <f ca="1">IF(AND('Mapa final'!$AA$11="Muy Alta",'Mapa final'!$AC$11="Mayor"),CONCATENATE("R1C",'Mapa final'!$Q$11),"")</f>
        <v/>
      </c>
      <c r="AC6" s="47" t="str">
        <f>IF(AND('Mapa final'!$AA$12="Muy Alta",'Mapa final'!$AC$12="Mayor"),CONCATENATE("R1C",'Mapa final'!$Q$12),"")</f>
        <v/>
      </c>
      <c r="AD6" s="47" t="str">
        <f>IF(AND('Mapa final'!$AA$13="Muy Alta",'Mapa final'!$AC$13="Mayor"),CONCATENATE("R1C",'Mapa final'!$Q$13),"")</f>
        <v/>
      </c>
      <c r="AE6" s="47" t="str">
        <f>IF(AND('Mapa final'!$AA$14="Muy Alta",'Mapa final'!$AC$14="Mayor"),CONCATENATE("R1C",'Mapa final'!$Q$14),"")</f>
        <v/>
      </c>
      <c r="AF6" s="47" t="str">
        <f>IF(AND('Mapa final'!$AA$15="Muy Alta",'Mapa final'!$AC$15="Mayor"),CONCATENATE("R1C",'Mapa final'!$Q$15),"")</f>
        <v/>
      </c>
      <c r="AG6" s="48" t="str">
        <f>IF(AND('Mapa final'!$AA$16="Muy Alta",'Mapa final'!$AC$16="Mayor"),CONCATENATE("R1C",'Mapa final'!$Q$16),"")</f>
        <v/>
      </c>
      <c r="AH6" s="49" t="str">
        <f ca="1">IF(AND('Mapa final'!$AA$11="Muy Alta",'Mapa final'!$AC$11="Catastrófico"),CONCATENATE("R1C",'Mapa final'!$Q$11),"")</f>
        <v/>
      </c>
      <c r="AI6" s="50" t="str">
        <f>IF(AND('Mapa final'!$AA$12="Muy Alta",'Mapa final'!$AC$12="Catastrófico"),CONCATENATE("R1C",'Mapa final'!$Q$12),"")</f>
        <v/>
      </c>
      <c r="AJ6" s="50" t="str">
        <f>IF(AND('Mapa final'!$AA$13="Muy Alta",'Mapa final'!$AC$13="Catastrófico"),CONCATENATE("R1C",'Mapa final'!$Q$13),"")</f>
        <v/>
      </c>
      <c r="AK6" s="50" t="str">
        <f>IF(AND('Mapa final'!$AA$14="Muy Alta",'Mapa final'!$AC$14="Catastrófico"),CONCATENATE("R1C",'Mapa final'!$Q$14),"")</f>
        <v/>
      </c>
      <c r="AL6" s="50" t="str">
        <f>IF(AND('Mapa final'!$AA$15="Muy Alta",'Mapa final'!$AC$15="Catastrófico"),CONCATENATE("R1C",'Mapa final'!$Q$15),"")</f>
        <v/>
      </c>
      <c r="AM6" s="51" t="str">
        <f>IF(AND('Mapa final'!$AA$16="Muy Alta",'Mapa final'!$AC$16="Catastrófico"),CONCATENATE("R1C",'Mapa final'!$Q$16),"")</f>
        <v/>
      </c>
      <c r="AN6" s="83"/>
      <c r="AO6" s="362" t="s">
        <v>76</v>
      </c>
      <c r="AP6" s="363"/>
      <c r="AQ6" s="363"/>
      <c r="AR6" s="363"/>
      <c r="AS6" s="363"/>
      <c r="AT6" s="36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35">
      <c r="A7" s="83"/>
      <c r="B7" s="304"/>
      <c r="C7" s="304"/>
      <c r="D7" s="305"/>
      <c r="E7" s="345"/>
      <c r="F7" s="346"/>
      <c r="G7" s="346"/>
      <c r="H7" s="346"/>
      <c r="I7" s="347"/>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65"/>
      <c r="AP7" s="366"/>
      <c r="AQ7" s="366"/>
      <c r="AR7" s="366"/>
      <c r="AS7" s="366"/>
      <c r="AT7" s="36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35">
      <c r="A8" s="83"/>
      <c r="B8" s="304"/>
      <c r="C8" s="304"/>
      <c r="D8" s="305"/>
      <c r="E8" s="345"/>
      <c r="F8" s="346"/>
      <c r="G8" s="346"/>
      <c r="H8" s="346"/>
      <c r="I8" s="347"/>
      <c r="J8" s="52" t="e">
        <f>IF(AND('Mapa final'!#REF!="Muy Alta",'Mapa final'!#REF!="Leve"),CONCATENATE("R3C",'Mapa final'!#REF!),"")</f>
        <v>#REF!</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e">
        <f>IF(AND('Mapa final'!#REF!="Muy Alta",'Mapa final'!#REF!="Menor"),CONCATENATE("R3C",'Mapa final'!#REF!),"")</f>
        <v>#REF!</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e">
        <f>IF(AND('Mapa final'!#REF!="Muy Alta",'Mapa final'!#REF!="Moderado"),CONCATENATE("R3C",'Mapa final'!#REF!),"")</f>
        <v>#REF!</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e">
        <f>IF(AND('Mapa final'!#REF!="Muy Alta",'Mapa final'!#REF!="Mayor"),CONCATENATE("R3C",'Mapa final'!#REF!),"")</f>
        <v>#REF!</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e">
        <f>IF(AND('Mapa final'!#REF!="Muy Alta",'Mapa final'!#REF!="Catastrófico"),CONCATENATE("R3C",'Mapa final'!#REF!),"")</f>
        <v>#REF!</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65"/>
      <c r="AP8" s="366"/>
      <c r="AQ8" s="366"/>
      <c r="AR8" s="366"/>
      <c r="AS8" s="366"/>
      <c r="AT8" s="36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35">
      <c r="A9" s="83"/>
      <c r="B9" s="304"/>
      <c r="C9" s="304"/>
      <c r="D9" s="305"/>
      <c r="E9" s="345"/>
      <c r="F9" s="346"/>
      <c r="G9" s="346"/>
      <c r="H9" s="346"/>
      <c r="I9" s="347"/>
      <c r="J9" s="52" t="str">
        <f ca="1">IF(AND('Mapa final'!$AA$17="Muy Alta",'Mapa final'!$AC$17="Leve"),CONCATENATE("R4C",'Mapa final'!$Q$17),"")</f>
        <v/>
      </c>
      <c r="K9" s="53" t="str">
        <f>IF(AND('Mapa final'!$AA$18="Muy Alta",'Mapa final'!$AC$18="Leve"),CONCATENATE("R4C",'Mapa final'!$Q$18),"")</f>
        <v/>
      </c>
      <c r="L9" s="53" t="str">
        <f>IF(AND('Mapa final'!$AA$19="Muy Alta",'Mapa final'!$AC$19="Leve"),CONCATENATE("R4C",'Mapa final'!$Q$19),"")</f>
        <v/>
      </c>
      <c r="M9" s="53" t="str">
        <f>IF(AND('Mapa final'!$AA$20="Muy Alta",'Mapa final'!$AC$20="Leve"),CONCATENATE("R4C",'Mapa final'!$Q$20),"")</f>
        <v/>
      </c>
      <c r="N9" s="53" t="str">
        <f>IF(AND('Mapa final'!$AA$21="Muy Alta",'Mapa final'!$AC$21="Leve"),CONCATENATE("R4C",'Mapa final'!$Q$21),"")</f>
        <v/>
      </c>
      <c r="O9" s="54" t="str">
        <f>IF(AND('Mapa final'!$AA$22="Muy Alta",'Mapa final'!$AC$22="Leve"),CONCATENATE("R4C",'Mapa final'!$Q$22),"")</f>
        <v/>
      </c>
      <c r="P9" s="52" t="str">
        <f ca="1">IF(AND('Mapa final'!$AA$17="Muy Alta",'Mapa final'!$AC$17="Menor"),CONCATENATE("R4C",'Mapa final'!$Q$17),"")</f>
        <v/>
      </c>
      <c r="Q9" s="53" t="str">
        <f>IF(AND('Mapa final'!$AA$18="Muy Alta",'Mapa final'!$AC$18="Menor"),CONCATENATE("R4C",'Mapa final'!$Q$18),"")</f>
        <v/>
      </c>
      <c r="R9" s="53" t="str">
        <f>IF(AND('Mapa final'!$AA$19="Muy Alta",'Mapa final'!$AC$19="Menor"),CONCATENATE("R4C",'Mapa final'!$Q$19),"")</f>
        <v/>
      </c>
      <c r="S9" s="53" t="str">
        <f>IF(AND('Mapa final'!$AA$20="Muy Alta",'Mapa final'!$AC$20="Menor"),CONCATENATE("R4C",'Mapa final'!$Q$20),"")</f>
        <v/>
      </c>
      <c r="T9" s="53" t="str">
        <f>IF(AND('Mapa final'!$AA$21="Muy Alta",'Mapa final'!$AC$21="Menor"),CONCATENATE("R4C",'Mapa final'!$Q$21),"")</f>
        <v/>
      </c>
      <c r="U9" s="54" t="str">
        <f>IF(AND('Mapa final'!$AA$22="Muy Alta",'Mapa final'!$AC$22="Menor"),CONCATENATE("R4C",'Mapa final'!$Q$22),"")</f>
        <v/>
      </c>
      <c r="V9" s="52" t="str">
        <f ca="1">IF(AND('Mapa final'!$AA$17="Muy Alta",'Mapa final'!$AC$17="Moderado"),CONCATENATE("R4C",'Mapa final'!$Q$17),"")</f>
        <v/>
      </c>
      <c r="W9" s="53" t="str">
        <f>IF(AND('Mapa final'!$AA$18="Muy Alta",'Mapa final'!$AC$18="Moderado"),CONCATENATE("R4C",'Mapa final'!$Q$18),"")</f>
        <v/>
      </c>
      <c r="X9" s="53" t="str">
        <f>IF(AND('Mapa final'!$AA$19="Muy Alta",'Mapa final'!$AC$19="Moderado"),CONCATENATE("R4C",'Mapa final'!$Q$19),"")</f>
        <v/>
      </c>
      <c r="Y9" s="53" t="str">
        <f>IF(AND('Mapa final'!$AA$20="Muy Alta",'Mapa final'!$AC$20="Moderado"),CONCATENATE("R4C",'Mapa final'!$Q$20),"")</f>
        <v/>
      </c>
      <c r="Z9" s="53" t="str">
        <f>IF(AND('Mapa final'!$AA$21="Muy Alta",'Mapa final'!$AC$21="Moderado"),CONCATENATE("R4C",'Mapa final'!$Q$21),"")</f>
        <v/>
      </c>
      <c r="AA9" s="54" t="str">
        <f>IF(AND('Mapa final'!$AA$22="Muy Alta",'Mapa final'!$AC$22="Moderado"),CONCATENATE("R4C",'Mapa final'!$Q$22),"")</f>
        <v/>
      </c>
      <c r="AB9" s="52" t="str">
        <f ca="1">IF(AND('Mapa final'!$AA$17="Muy Alta",'Mapa final'!$AC$17="Mayor"),CONCATENATE("R4C",'Mapa final'!$Q$17),"")</f>
        <v/>
      </c>
      <c r="AC9" s="53" t="str">
        <f>IF(AND('Mapa final'!$AA$18="Muy Alta",'Mapa final'!$AC$18="Mayor"),CONCATENATE("R4C",'Mapa final'!$Q$18),"")</f>
        <v/>
      </c>
      <c r="AD9" s="53" t="str">
        <f>IF(AND('Mapa final'!$AA$19="Muy Alta",'Mapa final'!$AC$19="Mayor"),CONCATENATE("R4C",'Mapa final'!$Q$19),"")</f>
        <v/>
      </c>
      <c r="AE9" s="53" t="str">
        <f>IF(AND('Mapa final'!$AA$20="Muy Alta",'Mapa final'!$AC$20="Mayor"),CONCATENATE("R4C",'Mapa final'!$Q$20),"")</f>
        <v/>
      </c>
      <c r="AF9" s="53" t="str">
        <f>IF(AND('Mapa final'!$AA$21="Muy Alta",'Mapa final'!$AC$21="Mayor"),CONCATENATE("R4C",'Mapa final'!$Q$21),"")</f>
        <v/>
      </c>
      <c r="AG9" s="54" t="str">
        <f>IF(AND('Mapa final'!$AA$22="Muy Alta",'Mapa final'!$AC$22="Mayor"),CONCATENATE("R4C",'Mapa final'!$Q$22),"")</f>
        <v/>
      </c>
      <c r="AH9" s="55" t="str">
        <f ca="1">IF(AND('Mapa final'!$AA$17="Muy Alta",'Mapa final'!$AC$17="Catastrófico"),CONCATENATE("R4C",'Mapa final'!$Q$17),"")</f>
        <v/>
      </c>
      <c r="AI9" s="56" t="str">
        <f>IF(AND('Mapa final'!$AA$18="Muy Alta",'Mapa final'!$AC$18="Catastrófico"),CONCATENATE("R4C",'Mapa final'!$Q$18),"")</f>
        <v/>
      </c>
      <c r="AJ9" s="56" t="str">
        <f>IF(AND('Mapa final'!$AA$19="Muy Alta",'Mapa final'!$AC$19="Catastrófico"),CONCATENATE("R4C",'Mapa final'!$Q$19),"")</f>
        <v/>
      </c>
      <c r="AK9" s="56" t="str">
        <f>IF(AND('Mapa final'!$AA$20="Muy Alta",'Mapa final'!$AC$20="Catastrófico"),CONCATENATE("R4C",'Mapa final'!$Q$20),"")</f>
        <v/>
      </c>
      <c r="AL9" s="56" t="str">
        <f>IF(AND('Mapa final'!$AA$21="Muy Alta",'Mapa final'!$AC$21="Catastrófico"),CONCATENATE("R4C",'Mapa final'!$Q$21),"")</f>
        <v/>
      </c>
      <c r="AM9" s="57" t="str">
        <f>IF(AND('Mapa final'!$AA$22="Muy Alta",'Mapa final'!$AC$22="Catastrófico"),CONCATENATE("R4C",'Mapa final'!$Q$22),"")</f>
        <v/>
      </c>
      <c r="AN9" s="83"/>
      <c r="AO9" s="365"/>
      <c r="AP9" s="366"/>
      <c r="AQ9" s="366"/>
      <c r="AR9" s="366"/>
      <c r="AS9" s="366"/>
      <c r="AT9" s="36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35">
      <c r="A10" s="83"/>
      <c r="B10" s="304"/>
      <c r="C10" s="304"/>
      <c r="D10" s="305"/>
      <c r="E10" s="345"/>
      <c r="F10" s="346"/>
      <c r="G10" s="346"/>
      <c r="H10" s="346"/>
      <c r="I10" s="347"/>
      <c r="J10" s="52" t="str">
        <f ca="1">IF(AND('Mapa final'!$AA$23="Muy Alta",'Mapa final'!$AC$23="Leve"),CONCATENATE("R5C",'Mapa final'!$Q$23),"")</f>
        <v/>
      </c>
      <c r="K10" s="53" t="str">
        <f>IF(AND('Mapa final'!$AA$24="Muy Alta",'Mapa final'!$AC$24="Leve"),CONCATENATE("R5C",'Mapa final'!$Q$24),"")</f>
        <v/>
      </c>
      <c r="L10" s="53" t="str">
        <f>IF(AND('Mapa final'!$AA$25="Muy Alta",'Mapa final'!$AC$25="Leve"),CONCATENATE("R5C",'Mapa final'!$Q$25),"")</f>
        <v/>
      </c>
      <c r="M10" s="53" t="str">
        <f>IF(AND('Mapa final'!$AA$26="Muy Alta",'Mapa final'!$AC$26="Leve"),CONCATENATE("R5C",'Mapa final'!$Q$26),"")</f>
        <v/>
      </c>
      <c r="N10" s="53" t="str">
        <f>IF(AND('Mapa final'!$AA$27="Muy Alta",'Mapa final'!$AC$27="Leve"),CONCATENATE("R5C",'Mapa final'!$Q$27),"")</f>
        <v/>
      </c>
      <c r="O10" s="54" t="str">
        <f>IF(AND('Mapa final'!$AA$28="Muy Alta",'Mapa final'!$AC$28="Leve"),CONCATENATE("R5C",'Mapa final'!$Q$28),"")</f>
        <v/>
      </c>
      <c r="P10" s="52" t="str">
        <f ca="1">IF(AND('Mapa final'!$AA$23="Muy Alta",'Mapa final'!$AC$23="Menor"),CONCATENATE("R5C",'Mapa final'!$Q$23),"")</f>
        <v/>
      </c>
      <c r="Q10" s="53" t="str">
        <f>IF(AND('Mapa final'!$AA$24="Muy Alta",'Mapa final'!$AC$24="Menor"),CONCATENATE("R5C",'Mapa final'!$Q$24),"")</f>
        <v/>
      </c>
      <c r="R10" s="53" t="str">
        <f>IF(AND('Mapa final'!$AA$25="Muy Alta",'Mapa final'!$AC$25="Menor"),CONCATENATE("R5C",'Mapa final'!$Q$25),"")</f>
        <v/>
      </c>
      <c r="S10" s="53" t="str">
        <f>IF(AND('Mapa final'!$AA$26="Muy Alta",'Mapa final'!$AC$26="Menor"),CONCATENATE("R5C",'Mapa final'!$Q$26),"")</f>
        <v/>
      </c>
      <c r="T10" s="53" t="str">
        <f>IF(AND('Mapa final'!$AA$27="Muy Alta",'Mapa final'!$AC$27="Menor"),CONCATENATE("R5C",'Mapa final'!$Q$27),"")</f>
        <v/>
      </c>
      <c r="U10" s="54" t="str">
        <f>IF(AND('Mapa final'!$AA$28="Muy Alta",'Mapa final'!$AC$28="Menor"),CONCATENATE("R5C",'Mapa final'!$Q$28),"")</f>
        <v/>
      </c>
      <c r="V10" s="52" t="str">
        <f ca="1">IF(AND('Mapa final'!$AA$23="Muy Alta",'Mapa final'!$AC$23="Moderado"),CONCATENATE("R5C",'Mapa final'!$Q$23),"")</f>
        <v/>
      </c>
      <c r="W10" s="53" t="str">
        <f>IF(AND('Mapa final'!$AA$24="Muy Alta",'Mapa final'!$AC$24="Moderado"),CONCATENATE("R5C",'Mapa final'!$Q$24),"")</f>
        <v/>
      </c>
      <c r="X10" s="53" t="str">
        <f>IF(AND('Mapa final'!$AA$25="Muy Alta",'Mapa final'!$AC$25="Moderado"),CONCATENATE("R5C",'Mapa final'!$Q$25),"")</f>
        <v/>
      </c>
      <c r="Y10" s="53" t="str">
        <f>IF(AND('Mapa final'!$AA$26="Muy Alta",'Mapa final'!$AC$26="Moderado"),CONCATENATE("R5C",'Mapa final'!$Q$26),"")</f>
        <v/>
      </c>
      <c r="Z10" s="53" t="str">
        <f>IF(AND('Mapa final'!$AA$27="Muy Alta",'Mapa final'!$AC$27="Moderado"),CONCATENATE("R5C",'Mapa final'!$Q$27),"")</f>
        <v/>
      </c>
      <c r="AA10" s="54" t="str">
        <f>IF(AND('Mapa final'!$AA$28="Muy Alta",'Mapa final'!$AC$28="Moderado"),CONCATENATE("R5C",'Mapa final'!$Q$28),"")</f>
        <v/>
      </c>
      <c r="AB10" s="52" t="str">
        <f ca="1">IF(AND('Mapa final'!$AA$23="Muy Alta",'Mapa final'!$AC$23="Mayor"),CONCATENATE("R5C",'Mapa final'!$Q$23),"")</f>
        <v/>
      </c>
      <c r="AC10" s="53" t="str">
        <f>IF(AND('Mapa final'!$AA$24="Muy Alta",'Mapa final'!$AC$24="Mayor"),CONCATENATE("R5C",'Mapa final'!$Q$24),"")</f>
        <v/>
      </c>
      <c r="AD10" s="53" t="str">
        <f>IF(AND('Mapa final'!$AA$25="Muy Alta",'Mapa final'!$AC$25="Mayor"),CONCATENATE("R5C",'Mapa final'!$Q$25),"")</f>
        <v/>
      </c>
      <c r="AE10" s="53" t="str">
        <f>IF(AND('Mapa final'!$AA$26="Muy Alta",'Mapa final'!$AC$26="Mayor"),CONCATENATE("R5C",'Mapa final'!$Q$26),"")</f>
        <v/>
      </c>
      <c r="AF10" s="53" t="str">
        <f>IF(AND('Mapa final'!$AA$27="Muy Alta",'Mapa final'!$AC$27="Mayor"),CONCATENATE("R5C",'Mapa final'!$Q$27),"")</f>
        <v/>
      </c>
      <c r="AG10" s="54" t="str">
        <f>IF(AND('Mapa final'!$AA$28="Muy Alta",'Mapa final'!$AC$28="Mayor"),CONCATENATE("R5C",'Mapa final'!$Q$28),"")</f>
        <v/>
      </c>
      <c r="AH10" s="55" t="str">
        <f ca="1">IF(AND('Mapa final'!$AA$23="Muy Alta",'Mapa final'!$AC$23="Catastrófico"),CONCATENATE("R5C",'Mapa final'!$Q$23),"")</f>
        <v/>
      </c>
      <c r="AI10" s="56" t="str">
        <f>IF(AND('Mapa final'!$AA$24="Muy Alta",'Mapa final'!$AC$24="Catastrófico"),CONCATENATE("R5C",'Mapa final'!$Q$24),"")</f>
        <v/>
      </c>
      <c r="AJ10" s="56" t="str">
        <f>IF(AND('Mapa final'!$AA$25="Muy Alta",'Mapa final'!$AC$25="Catastrófico"),CONCATENATE("R5C",'Mapa final'!$Q$25),"")</f>
        <v/>
      </c>
      <c r="AK10" s="56" t="str">
        <f>IF(AND('Mapa final'!$AA$26="Muy Alta",'Mapa final'!$AC$26="Catastrófico"),CONCATENATE("R5C",'Mapa final'!$Q$26),"")</f>
        <v/>
      </c>
      <c r="AL10" s="56" t="str">
        <f>IF(AND('Mapa final'!$AA$27="Muy Alta",'Mapa final'!$AC$27="Catastrófico"),CONCATENATE("R5C",'Mapa final'!$Q$27),"")</f>
        <v/>
      </c>
      <c r="AM10" s="57" t="str">
        <f>IF(AND('Mapa final'!$AA$28="Muy Alta",'Mapa final'!$AC$28="Catastrófico"),CONCATENATE("R5C",'Mapa final'!$Q$28),"")</f>
        <v/>
      </c>
      <c r="AN10" s="83"/>
      <c r="AO10" s="365"/>
      <c r="AP10" s="366"/>
      <c r="AQ10" s="366"/>
      <c r="AR10" s="366"/>
      <c r="AS10" s="366"/>
      <c r="AT10" s="36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35">
      <c r="A11" s="83"/>
      <c r="B11" s="304"/>
      <c r="C11" s="304"/>
      <c r="D11" s="305"/>
      <c r="E11" s="345"/>
      <c r="F11" s="346"/>
      <c r="G11" s="346"/>
      <c r="H11" s="346"/>
      <c r="I11" s="347"/>
      <c r="J11" s="52" t="str">
        <f ca="1">IF(AND('Mapa final'!$AA$29="Muy Alta",'Mapa final'!$AC$29="Leve"),CONCATENATE("R6C",'Mapa final'!$Q$29),"")</f>
        <v/>
      </c>
      <c r="K11" s="53" t="str">
        <f>IF(AND('Mapa final'!$AA$30="Muy Alta",'Mapa final'!$AC$30="Leve"),CONCATENATE("R6C",'Mapa final'!$Q$30),"")</f>
        <v/>
      </c>
      <c r="L11" s="53" t="str">
        <f>IF(AND('Mapa final'!$AA$31="Muy Alta",'Mapa final'!$AC$31="Leve"),CONCATENATE("R6C",'Mapa final'!$Q$31),"")</f>
        <v/>
      </c>
      <c r="M11" s="53" t="str">
        <f>IF(AND('Mapa final'!$AA$32="Muy Alta",'Mapa final'!$AC$32="Leve"),CONCATENATE("R6C",'Mapa final'!$Q$32),"")</f>
        <v/>
      </c>
      <c r="N11" s="53" t="str">
        <f>IF(AND('Mapa final'!$AA$33="Muy Alta",'Mapa final'!$AC$33="Leve"),CONCATENATE("R6C",'Mapa final'!$Q$33),"")</f>
        <v/>
      </c>
      <c r="O11" s="54" t="str">
        <f>IF(AND('Mapa final'!$AA$34="Muy Alta",'Mapa final'!$AC$34="Leve"),CONCATENATE("R6C",'Mapa final'!$Q$34),"")</f>
        <v/>
      </c>
      <c r="P11" s="52" t="str">
        <f ca="1">IF(AND('Mapa final'!$AA$29="Muy Alta",'Mapa final'!$AC$29="Menor"),CONCATENATE("R6C",'Mapa final'!$Q$29),"")</f>
        <v/>
      </c>
      <c r="Q11" s="53" t="str">
        <f>IF(AND('Mapa final'!$AA$30="Muy Alta",'Mapa final'!$AC$30="Menor"),CONCATENATE("R6C",'Mapa final'!$Q$30),"")</f>
        <v/>
      </c>
      <c r="R11" s="53" t="str">
        <f>IF(AND('Mapa final'!$AA$31="Muy Alta",'Mapa final'!$AC$31="Menor"),CONCATENATE("R6C",'Mapa final'!$Q$31),"")</f>
        <v/>
      </c>
      <c r="S11" s="53" t="str">
        <f>IF(AND('Mapa final'!$AA$32="Muy Alta",'Mapa final'!$AC$32="Menor"),CONCATENATE("R6C",'Mapa final'!$Q$32),"")</f>
        <v/>
      </c>
      <c r="T11" s="53" t="str">
        <f>IF(AND('Mapa final'!$AA$33="Muy Alta",'Mapa final'!$AC$33="Menor"),CONCATENATE("R6C",'Mapa final'!$Q$33),"")</f>
        <v/>
      </c>
      <c r="U11" s="54" t="str">
        <f>IF(AND('Mapa final'!$AA$34="Muy Alta",'Mapa final'!$AC$34="Menor"),CONCATENATE("R6C",'Mapa final'!$Q$34),"")</f>
        <v/>
      </c>
      <c r="V11" s="52" t="str">
        <f ca="1">IF(AND('Mapa final'!$AA$29="Muy Alta",'Mapa final'!$AC$29="Moderado"),CONCATENATE("R6C",'Mapa final'!$Q$29),"")</f>
        <v/>
      </c>
      <c r="W11" s="53" t="str">
        <f>IF(AND('Mapa final'!$AA$30="Muy Alta",'Mapa final'!$AC$30="Moderado"),CONCATENATE("R6C",'Mapa final'!$Q$30),"")</f>
        <v/>
      </c>
      <c r="X11" s="53" t="str">
        <f>IF(AND('Mapa final'!$AA$31="Muy Alta",'Mapa final'!$AC$31="Moderado"),CONCATENATE("R6C",'Mapa final'!$Q$31),"")</f>
        <v/>
      </c>
      <c r="Y11" s="53" t="str">
        <f>IF(AND('Mapa final'!$AA$32="Muy Alta",'Mapa final'!$AC$32="Moderado"),CONCATENATE("R6C",'Mapa final'!$Q$32),"")</f>
        <v/>
      </c>
      <c r="Z11" s="53" t="str">
        <f>IF(AND('Mapa final'!$AA$33="Muy Alta",'Mapa final'!$AC$33="Moderado"),CONCATENATE("R6C",'Mapa final'!$Q$33),"")</f>
        <v/>
      </c>
      <c r="AA11" s="54" t="str">
        <f>IF(AND('Mapa final'!$AA$34="Muy Alta",'Mapa final'!$AC$34="Moderado"),CONCATENATE("R6C",'Mapa final'!$Q$34),"")</f>
        <v/>
      </c>
      <c r="AB11" s="52" t="str">
        <f ca="1">IF(AND('Mapa final'!$AA$29="Muy Alta",'Mapa final'!$AC$29="Mayor"),CONCATENATE("R6C",'Mapa final'!$Q$29),"")</f>
        <v/>
      </c>
      <c r="AC11" s="53" t="str">
        <f>IF(AND('Mapa final'!$AA$30="Muy Alta",'Mapa final'!$AC$30="Mayor"),CONCATENATE("R6C",'Mapa final'!$Q$30),"")</f>
        <v/>
      </c>
      <c r="AD11" s="53" t="str">
        <f>IF(AND('Mapa final'!$AA$31="Muy Alta",'Mapa final'!$AC$31="Mayor"),CONCATENATE("R6C",'Mapa final'!$Q$31),"")</f>
        <v/>
      </c>
      <c r="AE11" s="53" t="str">
        <f>IF(AND('Mapa final'!$AA$32="Muy Alta",'Mapa final'!$AC$32="Mayor"),CONCATENATE("R6C",'Mapa final'!$Q$32),"")</f>
        <v/>
      </c>
      <c r="AF11" s="53" t="str">
        <f>IF(AND('Mapa final'!$AA$33="Muy Alta",'Mapa final'!$AC$33="Mayor"),CONCATENATE("R6C",'Mapa final'!$Q$33),"")</f>
        <v/>
      </c>
      <c r="AG11" s="54" t="str">
        <f>IF(AND('Mapa final'!$AA$34="Muy Alta",'Mapa final'!$AC$34="Mayor"),CONCATENATE("R6C",'Mapa final'!$Q$34),"")</f>
        <v/>
      </c>
      <c r="AH11" s="55" t="str">
        <f ca="1">IF(AND('Mapa final'!$AA$29="Muy Alta",'Mapa final'!$AC$29="Catastrófico"),CONCATENATE("R6C",'Mapa final'!$Q$29),"")</f>
        <v/>
      </c>
      <c r="AI11" s="56" t="str">
        <f>IF(AND('Mapa final'!$AA$30="Muy Alta",'Mapa final'!$AC$30="Catastrófico"),CONCATENATE("R6C",'Mapa final'!$Q$30),"")</f>
        <v/>
      </c>
      <c r="AJ11" s="56" t="str">
        <f>IF(AND('Mapa final'!$AA$31="Muy Alta",'Mapa final'!$AC$31="Catastrófico"),CONCATENATE("R6C",'Mapa final'!$Q$31),"")</f>
        <v/>
      </c>
      <c r="AK11" s="56" t="str">
        <f>IF(AND('Mapa final'!$AA$32="Muy Alta",'Mapa final'!$AC$32="Catastrófico"),CONCATENATE("R6C",'Mapa final'!$Q$32),"")</f>
        <v/>
      </c>
      <c r="AL11" s="56" t="str">
        <f>IF(AND('Mapa final'!$AA$33="Muy Alta",'Mapa final'!$AC$33="Catastrófico"),CONCATENATE("R6C",'Mapa final'!$Q$33),"")</f>
        <v/>
      </c>
      <c r="AM11" s="57" t="str">
        <f>IF(AND('Mapa final'!$AA$34="Muy Alta",'Mapa final'!$AC$34="Catastrófico"),CONCATENATE("R6C",'Mapa final'!$Q$34),"")</f>
        <v/>
      </c>
      <c r="AN11" s="83"/>
      <c r="AO11" s="365"/>
      <c r="AP11" s="366"/>
      <c r="AQ11" s="366"/>
      <c r="AR11" s="366"/>
      <c r="AS11" s="366"/>
      <c r="AT11" s="36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35">
      <c r="A12" s="83"/>
      <c r="B12" s="304"/>
      <c r="C12" s="304"/>
      <c r="D12" s="305"/>
      <c r="E12" s="345"/>
      <c r="F12" s="346"/>
      <c r="G12" s="346"/>
      <c r="H12" s="346"/>
      <c r="I12" s="347"/>
      <c r="J12" s="52" t="str">
        <f ca="1">IF(AND('Mapa final'!$AA$35="Muy Alta",'Mapa final'!$AC$35="Leve"),CONCATENATE("R7C",'Mapa final'!$Q$35),"")</f>
        <v/>
      </c>
      <c r="K12" s="53" t="str">
        <f>IF(AND('Mapa final'!$AA$36="Muy Alta",'Mapa final'!$AC$36="Leve"),CONCATENATE("R7C",'Mapa final'!$Q$36),"")</f>
        <v/>
      </c>
      <c r="L12" s="53" t="str">
        <f>IF(AND('Mapa final'!$AA$37="Muy Alta",'Mapa final'!$AC$37="Leve"),CONCATENATE("R7C",'Mapa final'!$Q$37),"")</f>
        <v/>
      </c>
      <c r="M12" s="53" t="str">
        <f>IF(AND('Mapa final'!$AA$38="Muy Alta",'Mapa final'!$AC$38="Leve"),CONCATENATE("R7C",'Mapa final'!$Q$38),"")</f>
        <v/>
      </c>
      <c r="N12" s="53" t="str">
        <f>IF(AND('Mapa final'!$AA$39="Muy Alta",'Mapa final'!$AC$39="Leve"),CONCATENATE("R7C",'Mapa final'!$Q$39),"")</f>
        <v/>
      </c>
      <c r="O12" s="54" t="str">
        <f>IF(AND('Mapa final'!$AA$40="Muy Alta",'Mapa final'!$AC$40="Leve"),CONCATENATE("R7C",'Mapa final'!$Q$40),"")</f>
        <v/>
      </c>
      <c r="P12" s="52" t="str">
        <f ca="1">IF(AND('Mapa final'!$AA$35="Muy Alta",'Mapa final'!$AC$35="Menor"),CONCATENATE("R7C",'Mapa final'!$Q$35),"")</f>
        <v/>
      </c>
      <c r="Q12" s="53" t="str">
        <f>IF(AND('Mapa final'!$AA$36="Muy Alta",'Mapa final'!$AC$36="Menor"),CONCATENATE("R7C",'Mapa final'!$Q$36),"")</f>
        <v/>
      </c>
      <c r="R12" s="53" t="str">
        <f>IF(AND('Mapa final'!$AA$37="Muy Alta",'Mapa final'!$AC$37="Menor"),CONCATENATE("R7C",'Mapa final'!$Q$37),"")</f>
        <v/>
      </c>
      <c r="S12" s="53" t="str">
        <f>IF(AND('Mapa final'!$AA$38="Muy Alta",'Mapa final'!$AC$38="Menor"),CONCATENATE("R7C",'Mapa final'!$Q$38),"")</f>
        <v/>
      </c>
      <c r="T12" s="53" t="str">
        <f>IF(AND('Mapa final'!$AA$39="Muy Alta",'Mapa final'!$AC$39="Menor"),CONCATENATE("R7C",'Mapa final'!$Q$39),"")</f>
        <v/>
      </c>
      <c r="U12" s="54" t="str">
        <f>IF(AND('Mapa final'!$AA$40="Muy Alta",'Mapa final'!$AC$40="Menor"),CONCATENATE("R7C",'Mapa final'!$Q$40),"")</f>
        <v/>
      </c>
      <c r="V12" s="52" t="str">
        <f ca="1">IF(AND('Mapa final'!$AA$35="Muy Alta",'Mapa final'!$AC$35="Moderado"),CONCATENATE("R7C",'Mapa final'!$Q$35),"")</f>
        <v/>
      </c>
      <c r="W12" s="53" t="str">
        <f>IF(AND('Mapa final'!$AA$36="Muy Alta",'Mapa final'!$AC$36="Moderado"),CONCATENATE("R7C",'Mapa final'!$Q$36),"")</f>
        <v/>
      </c>
      <c r="X12" s="53" t="str">
        <f>IF(AND('Mapa final'!$AA$37="Muy Alta",'Mapa final'!$AC$37="Moderado"),CONCATENATE("R7C",'Mapa final'!$Q$37),"")</f>
        <v/>
      </c>
      <c r="Y12" s="53" t="str">
        <f>IF(AND('Mapa final'!$AA$38="Muy Alta",'Mapa final'!$AC$38="Moderado"),CONCATENATE("R7C",'Mapa final'!$Q$38),"")</f>
        <v/>
      </c>
      <c r="Z12" s="53" t="str">
        <f>IF(AND('Mapa final'!$AA$39="Muy Alta",'Mapa final'!$AC$39="Moderado"),CONCATENATE("R7C",'Mapa final'!$Q$39),"")</f>
        <v/>
      </c>
      <c r="AA12" s="54" t="str">
        <f>IF(AND('Mapa final'!$AA$40="Muy Alta",'Mapa final'!$AC$40="Moderado"),CONCATENATE("R7C",'Mapa final'!$Q$40),"")</f>
        <v/>
      </c>
      <c r="AB12" s="52" t="str">
        <f ca="1">IF(AND('Mapa final'!$AA$35="Muy Alta",'Mapa final'!$AC$35="Mayor"),CONCATENATE("R7C",'Mapa final'!$Q$35),"")</f>
        <v/>
      </c>
      <c r="AC12" s="53" t="str">
        <f>IF(AND('Mapa final'!$AA$36="Muy Alta",'Mapa final'!$AC$36="Mayor"),CONCATENATE("R7C",'Mapa final'!$Q$36),"")</f>
        <v/>
      </c>
      <c r="AD12" s="53" t="str">
        <f>IF(AND('Mapa final'!$AA$37="Muy Alta",'Mapa final'!$AC$37="Mayor"),CONCATENATE("R7C",'Mapa final'!$Q$37),"")</f>
        <v/>
      </c>
      <c r="AE12" s="53" t="str">
        <f>IF(AND('Mapa final'!$AA$38="Muy Alta",'Mapa final'!$AC$38="Mayor"),CONCATENATE("R7C",'Mapa final'!$Q$38),"")</f>
        <v/>
      </c>
      <c r="AF12" s="53" t="str">
        <f>IF(AND('Mapa final'!$AA$39="Muy Alta",'Mapa final'!$AC$39="Mayor"),CONCATENATE("R7C",'Mapa final'!$Q$39),"")</f>
        <v/>
      </c>
      <c r="AG12" s="54" t="str">
        <f>IF(AND('Mapa final'!$AA$40="Muy Alta",'Mapa final'!$AC$40="Mayor"),CONCATENATE("R7C",'Mapa final'!$Q$40),"")</f>
        <v/>
      </c>
      <c r="AH12" s="55" t="str">
        <f ca="1">IF(AND('Mapa final'!$AA$35="Muy Alta",'Mapa final'!$AC$35="Catastrófico"),CONCATENATE("R7C",'Mapa final'!$Q$35),"")</f>
        <v/>
      </c>
      <c r="AI12" s="56" t="str">
        <f>IF(AND('Mapa final'!$AA$36="Muy Alta",'Mapa final'!$AC$36="Catastrófico"),CONCATENATE("R7C",'Mapa final'!$Q$36),"")</f>
        <v/>
      </c>
      <c r="AJ12" s="56" t="str">
        <f>IF(AND('Mapa final'!$AA$37="Muy Alta",'Mapa final'!$AC$37="Catastrófico"),CONCATENATE("R7C",'Mapa final'!$Q$37),"")</f>
        <v/>
      </c>
      <c r="AK12" s="56" t="str">
        <f>IF(AND('Mapa final'!$AA$38="Muy Alta",'Mapa final'!$AC$38="Catastrófico"),CONCATENATE("R7C",'Mapa final'!$Q$38),"")</f>
        <v/>
      </c>
      <c r="AL12" s="56" t="str">
        <f>IF(AND('Mapa final'!$AA$39="Muy Alta",'Mapa final'!$AC$39="Catastrófico"),CONCATENATE("R7C",'Mapa final'!$Q$39),"")</f>
        <v/>
      </c>
      <c r="AM12" s="57" t="str">
        <f>IF(AND('Mapa final'!$AA$40="Muy Alta",'Mapa final'!$AC$40="Catastrófico"),CONCATENATE("R7C",'Mapa final'!$Q$40),"")</f>
        <v/>
      </c>
      <c r="AN12" s="83"/>
      <c r="AO12" s="365"/>
      <c r="AP12" s="366"/>
      <c r="AQ12" s="366"/>
      <c r="AR12" s="366"/>
      <c r="AS12" s="366"/>
      <c r="AT12" s="36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35">
      <c r="A13" s="83"/>
      <c r="B13" s="304"/>
      <c r="C13" s="304"/>
      <c r="D13" s="305"/>
      <c r="E13" s="345"/>
      <c r="F13" s="346"/>
      <c r="G13" s="346"/>
      <c r="H13" s="346"/>
      <c r="I13" s="347"/>
      <c r="J13" s="52" t="str">
        <f>IF(AND('Mapa final'!$AA$41="Muy Alta",'Mapa final'!$AC$41="Leve"),CONCATENATE("R8C",'Mapa final'!$Q$41),"")</f>
        <v/>
      </c>
      <c r="K13" s="53" t="str">
        <f>IF(AND('Mapa final'!$AA$42="Muy Alta",'Mapa final'!$AC$42="Leve"),CONCATENATE("R8C",'Mapa final'!$Q$42),"")</f>
        <v/>
      </c>
      <c r="L13" s="53" t="str">
        <f>IF(AND('Mapa final'!$AA$43="Muy Alta",'Mapa final'!$AC$43="Leve"),CONCATENATE("R8C",'Mapa final'!$Q$43),"")</f>
        <v/>
      </c>
      <c r="M13" s="53" t="str">
        <f>IF(AND('Mapa final'!$AA$44="Muy Alta",'Mapa final'!$AC$44="Leve"),CONCATENATE("R8C",'Mapa final'!$Q$44),"")</f>
        <v/>
      </c>
      <c r="N13" s="53" t="str">
        <f>IF(AND('Mapa final'!$AA$45="Muy Alta",'Mapa final'!$AC$45="Leve"),CONCATENATE("R8C",'Mapa final'!$Q$45),"")</f>
        <v/>
      </c>
      <c r="O13" s="54" t="str">
        <f>IF(AND('Mapa final'!$AA$46="Muy Alta",'Mapa final'!$AC$46="Leve"),CONCATENATE("R8C",'Mapa final'!$Q$46),"")</f>
        <v/>
      </c>
      <c r="P13" s="52" t="str">
        <f>IF(AND('Mapa final'!$AA$41="Muy Alta",'Mapa final'!$AC$41="Menor"),CONCATENATE("R8C",'Mapa final'!$Q$41),"")</f>
        <v/>
      </c>
      <c r="Q13" s="53" t="str">
        <f>IF(AND('Mapa final'!$AA$42="Muy Alta",'Mapa final'!$AC$42="Menor"),CONCATENATE("R8C",'Mapa final'!$Q$42),"")</f>
        <v/>
      </c>
      <c r="R13" s="53" t="str">
        <f>IF(AND('Mapa final'!$AA$43="Muy Alta",'Mapa final'!$AC$43="Menor"),CONCATENATE("R8C",'Mapa final'!$Q$43),"")</f>
        <v/>
      </c>
      <c r="S13" s="53" t="str">
        <f>IF(AND('Mapa final'!$AA$44="Muy Alta",'Mapa final'!$AC$44="Menor"),CONCATENATE("R8C",'Mapa final'!$Q$44),"")</f>
        <v/>
      </c>
      <c r="T13" s="53" t="str">
        <f>IF(AND('Mapa final'!$AA$45="Muy Alta",'Mapa final'!$AC$45="Menor"),CONCATENATE("R8C",'Mapa final'!$Q$45),"")</f>
        <v/>
      </c>
      <c r="U13" s="54" t="str">
        <f>IF(AND('Mapa final'!$AA$46="Muy Alta",'Mapa final'!$AC$46="Menor"),CONCATENATE("R8C",'Mapa final'!$Q$46),"")</f>
        <v/>
      </c>
      <c r="V13" s="52" t="str">
        <f>IF(AND('Mapa final'!$AA$41="Muy Alta",'Mapa final'!$AC$41="Moderado"),CONCATENATE("R8C",'Mapa final'!$Q$41),"")</f>
        <v/>
      </c>
      <c r="W13" s="53" t="str">
        <f>IF(AND('Mapa final'!$AA$42="Muy Alta",'Mapa final'!$AC$42="Moderado"),CONCATENATE("R8C",'Mapa final'!$Q$42),"")</f>
        <v/>
      </c>
      <c r="X13" s="53" t="str">
        <f>IF(AND('Mapa final'!$AA$43="Muy Alta",'Mapa final'!$AC$43="Moderado"),CONCATENATE("R8C",'Mapa final'!$Q$43),"")</f>
        <v/>
      </c>
      <c r="Y13" s="53" t="str">
        <f>IF(AND('Mapa final'!$AA$44="Muy Alta",'Mapa final'!$AC$44="Moderado"),CONCATENATE("R8C",'Mapa final'!$Q$44),"")</f>
        <v/>
      </c>
      <c r="Z13" s="53" t="str">
        <f>IF(AND('Mapa final'!$AA$45="Muy Alta",'Mapa final'!$AC$45="Moderado"),CONCATENATE("R8C",'Mapa final'!$Q$45),"")</f>
        <v/>
      </c>
      <c r="AA13" s="54" t="str">
        <f>IF(AND('Mapa final'!$AA$46="Muy Alta",'Mapa final'!$AC$46="Moderado"),CONCATENATE("R8C",'Mapa final'!$Q$46),"")</f>
        <v/>
      </c>
      <c r="AB13" s="52" t="str">
        <f>IF(AND('Mapa final'!$AA$41="Muy Alta",'Mapa final'!$AC$41="Mayor"),CONCATENATE("R8C",'Mapa final'!$Q$41),"")</f>
        <v/>
      </c>
      <c r="AC13" s="53" t="str">
        <f>IF(AND('Mapa final'!$AA$42="Muy Alta",'Mapa final'!$AC$42="Mayor"),CONCATENATE("R8C",'Mapa final'!$Q$42),"")</f>
        <v/>
      </c>
      <c r="AD13" s="53" t="str">
        <f>IF(AND('Mapa final'!$AA$43="Muy Alta",'Mapa final'!$AC$43="Mayor"),CONCATENATE("R8C",'Mapa final'!$Q$43),"")</f>
        <v/>
      </c>
      <c r="AE13" s="53" t="str">
        <f>IF(AND('Mapa final'!$AA$44="Muy Alta",'Mapa final'!$AC$44="Mayor"),CONCATENATE("R8C",'Mapa final'!$Q$44),"")</f>
        <v/>
      </c>
      <c r="AF13" s="53" t="str">
        <f>IF(AND('Mapa final'!$AA$45="Muy Alta",'Mapa final'!$AC$45="Mayor"),CONCATENATE("R8C",'Mapa final'!$Q$45),"")</f>
        <v/>
      </c>
      <c r="AG13" s="54" t="str">
        <f>IF(AND('Mapa final'!$AA$46="Muy Alta",'Mapa final'!$AC$46="Mayor"),CONCATENATE("R8C",'Mapa final'!$Q$46),"")</f>
        <v/>
      </c>
      <c r="AH13" s="55" t="str">
        <f>IF(AND('Mapa final'!$AA$41="Muy Alta",'Mapa final'!$AC$41="Catastrófico"),CONCATENATE("R8C",'Mapa final'!$Q$41),"")</f>
        <v/>
      </c>
      <c r="AI13" s="56" t="str">
        <f>IF(AND('Mapa final'!$AA$42="Muy Alta",'Mapa final'!$AC$42="Catastrófico"),CONCATENATE("R8C",'Mapa final'!$Q$42),"")</f>
        <v/>
      </c>
      <c r="AJ13" s="56" t="str">
        <f>IF(AND('Mapa final'!$AA$43="Muy Alta",'Mapa final'!$AC$43="Catastrófico"),CONCATENATE("R8C",'Mapa final'!$Q$43),"")</f>
        <v/>
      </c>
      <c r="AK13" s="56" t="str">
        <f>IF(AND('Mapa final'!$AA$44="Muy Alta",'Mapa final'!$AC$44="Catastrófico"),CONCATENATE("R8C",'Mapa final'!$Q$44),"")</f>
        <v/>
      </c>
      <c r="AL13" s="56" t="str">
        <f>IF(AND('Mapa final'!$AA$45="Muy Alta",'Mapa final'!$AC$45="Catastrófico"),CONCATENATE("R8C",'Mapa final'!$Q$45),"")</f>
        <v/>
      </c>
      <c r="AM13" s="57" t="str">
        <f>IF(AND('Mapa final'!$AA$46="Muy Alta",'Mapa final'!$AC$46="Catastrófico"),CONCATENATE("R8C",'Mapa final'!$Q$46),"")</f>
        <v/>
      </c>
      <c r="AN13" s="83"/>
      <c r="AO13" s="365"/>
      <c r="AP13" s="366"/>
      <c r="AQ13" s="366"/>
      <c r="AR13" s="366"/>
      <c r="AS13" s="366"/>
      <c r="AT13" s="36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35">
      <c r="A14" s="83"/>
      <c r="B14" s="304"/>
      <c r="C14" s="304"/>
      <c r="D14" s="305"/>
      <c r="E14" s="345"/>
      <c r="F14" s="346"/>
      <c r="G14" s="346"/>
      <c r="H14" s="346"/>
      <c r="I14" s="347"/>
      <c r="J14" s="52" t="str">
        <f>IF(AND('Mapa final'!$AA$47="Muy Alta",'Mapa final'!$AC$47="Leve"),CONCATENATE("R9C",'Mapa final'!$Q$47),"")</f>
        <v/>
      </c>
      <c r="K14" s="53" t="str">
        <f>IF(AND('Mapa final'!$AA$48="Muy Alta",'Mapa final'!$AC$48="Leve"),CONCATENATE("R9C",'Mapa final'!$Q$48),"")</f>
        <v/>
      </c>
      <c r="L14" s="53" t="str">
        <f>IF(AND('Mapa final'!$AA$49="Muy Alta",'Mapa final'!$AC$49="Leve"),CONCATENATE("R9C",'Mapa final'!$Q$49),"")</f>
        <v/>
      </c>
      <c r="M14" s="53" t="str">
        <f>IF(AND('Mapa final'!$AA$50="Muy Alta",'Mapa final'!$AC$50="Leve"),CONCATENATE("R9C",'Mapa final'!$Q$50),"")</f>
        <v/>
      </c>
      <c r="N14" s="53" t="str">
        <f>IF(AND('Mapa final'!$AA$51="Muy Alta",'Mapa final'!$AC$51="Leve"),CONCATENATE("R9C",'Mapa final'!$Q$51),"")</f>
        <v/>
      </c>
      <c r="O14" s="54" t="str">
        <f>IF(AND('Mapa final'!$AA$52="Muy Alta",'Mapa final'!$AC$52="Leve"),CONCATENATE("R9C",'Mapa final'!$Q$52),"")</f>
        <v/>
      </c>
      <c r="P14" s="52" t="str">
        <f>IF(AND('Mapa final'!$AA$47="Muy Alta",'Mapa final'!$AC$47="Menor"),CONCATENATE("R9C",'Mapa final'!$Q$47),"")</f>
        <v/>
      </c>
      <c r="Q14" s="53" t="str">
        <f>IF(AND('Mapa final'!$AA$48="Muy Alta",'Mapa final'!$AC$48="Menor"),CONCATENATE("R9C",'Mapa final'!$Q$48),"")</f>
        <v/>
      </c>
      <c r="R14" s="53" t="str">
        <f>IF(AND('Mapa final'!$AA$49="Muy Alta",'Mapa final'!$AC$49="Menor"),CONCATENATE("R9C",'Mapa final'!$Q$49),"")</f>
        <v/>
      </c>
      <c r="S14" s="53" t="str">
        <f>IF(AND('Mapa final'!$AA$50="Muy Alta",'Mapa final'!$AC$50="Menor"),CONCATENATE("R9C",'Mapa final'!$Q$50),"")</f>
        <v/>
      </c>
      <c r="T14" s="53" t="str">
        <f>IF(AND('Mapa final'!$AA$51="Muy Alta",'Mapa final'!$AC$51="Menor"),CONCATENATE("R9C",'Mapa final'!$Q$51),"")</f>
        <v/>
      </c>
      <c r="U14" s="54" t="str">
        <f>IF(AND('Mapa final'!$AA$52="Muy Alta",'Mapa final'!$AC$52="Menor"),CONCATENATE("R9C",'Mapa final'!$Q$52),"")</f>
        <v/>
      </c>
      <c r="V14" s="52" t="str">
        <f>IF(AND('Mapa final'!$AA$47="Muy Alta",'Mapa final'!$AC$47="Moderado"),CONCATENATE("R9C",'Mapa final'!$Q$47),"")</f>
        <v/>
      </c>
      <c r="W14" s="53" t="str">
        <f>IF(AND('Mapa final'!$AA$48="Muy Alta",'Mapa final'!$AC$48="Moderado"),CONCATENATE("R9C",'Mapa final'!$Q$48),"")</f>
        <v/>
      </c>
      <c r="X14" s="53" t="str">
        <f>IF(AND('Mapa final'!$AA$49="Muy Alta",'Mapa final'!$AC$49="Moderado"),CONCATENATE("R9C",'Mapa final'!$Q$49),"")</f>
        <v/>
      </c>
      <c r="Y14" s="53" t="str">
        <f>IF(AND('Mapa final'!$AA$50="Muy Alta",'Mapa final'!$AC$50="Moderado"),CONCATENATE("R9C",'Mapa final'!$Q$50),"")</f>
        <v/>
      </c>
      <c r="Z14" s="53" t="str">
        <f>IF(AND('Mapa final'!$AA$51="Muy Alta",'Mapa final'!$AC$51="Moderado"),CONCATENATE("R9C",'Mapa final'!$Q$51),"")</f>
        <v/>
      </c>
      <c r="AA14" s="54" t="str">
        <f>IF(AND('Mapa final'!$AA$52="Muy Alta",'Mapa final'!$AC$52="Moderado"),CONCATENATE("R9C",'Mapa final'!$Q$52),"")</f>
        <v/>
      </c>
      <c r="AB14" s="52" t="str">
        <f>IF(AND('Mapa final'!$AA$47="Muy Alta",'Mapa final'!$AC$47="Mayor"),CONCATENATE("R9C",'Mapa final'!$Q$47),"")</f>
        <v/>
      </c>
      <c r="AC14" s="53" t="str">
        <f>IF(AND('Mapa final'!$AA$48="Muy Alta",'Mapa final'!$AC$48="Mayor"),CONCATENATE("R9C",'Mapa final'!$Q$48),"")</f>
        <v/>
      </c>
      <c r="AD14" s="53" t="str">
        <f>IF(AND('Mapa final'!$AA$49="Muy Alta",'Mapa final'!$AC$49="Mayor"),CONCATENATE("R9C",'Mapa final'!$Q$49),"")</f>
        <v/>
      </c>
      <c r="AE14" s="53" t="str">
        <f>IF(AND('Mapa final'!$AA$50="Muy Alta",'Mapa final'!$AC$50="Mayor"),CONCATENATE("R9C",'Mapa final'!$Q$50),"")</f>
        <v/>
      </c>
      <c r="AF14" s="53" t="str">
        <f>IF(AND('Mapa final'!$AA$51="Muy Alta",'Mapa final'!$AC$51="Mayor"),CONCATENATE("R9C",'Mapa final'!$Q$51),"")</f>
        <v/>
      </c>
      <c r="AG14" s="54" t="str">
        <f>IF(AND('Mapa final'!$AA$52="Muy Alta",'Mapa final'!$AC$52="Mayor"),CONCATENATE("R9C",'Mapa final'!$Q$52),"")</f>
        <v/>
      </c>
      <c r="AH14" s="55" t="str">
        <f>IF(AND('Mapa final'!$AA$47="Muy Alta",'Mapa final'!$AC$47="Catastrófico"),CONCATENATE("R9C",'Mapa final'!$Q$47),"")</f>
        <v/>
      </c>
      <c r="AI14" s="56" t="str">
        <f>IF(AND('Mapa final'!$AA$48="Muy Alta",'Mapa final'!$AC$48="Catastrófico"),CONCATENATE("R9C",'Mapa final'!$Q$48),"")</f>
        <v/>
      </c>
      <c r="AJ14" s="56" t="str">
        <f>IF(AND('Mapa final'!$AA$49="Muy Alta",'Mapa final'!$AC$49="Catastrófico"),CONCATENATE("R9C",'Mapa final'!$Q$49),"")</f>
        <v/>
      </c>
      <c r="AK14" s="56" t="str">
        <f>IF(AND('Mapa final'!$AA$50="Muy Alta",'Mapa final'!$AC$50="Catastrófico"),CONCATENATE("R9C",'Mapa final'!$Q$50),"")</f>
        <v/>
      </c>
      <c r="AL14" s="56" t="str">
        <f>IF(AND('Mapa final'!$AA$51="Muy Alta",'Mapa final'!$AC$51="Catastrófico"),CONCATENATE("R9C",'Mapa final'!$Q$51),"")</f>
        <v/>
      </c>
      <c r="AM14" s="57" t="str">
        <f>IF(AND('Mapa final'!$AA$52="Muy Alta",'Mapa final'!$AC$52="Catastrófico"),CONCATENATE("R9C",'Mapa final'!$Q$52),"")</f>
        <v/>
      </c>
      <c r="AN14" s="83"/>
      <c r="AO14" s="365"/>
      <c r="AP14" s="366"/>
      <c r="AQ14" s="366"/>
      <c r="AR14" s="366"/>
      <c r="AS14" s="366"/>
      <c r="AT14" s="36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4">
      <c r="A15" s="83"/>
      <c r="B15" s="304"/>
      <c r="C15" s="304"/>
      <c r="D15" s="305"/>
      <c r="E15" s="348"/>
      <c r="F15" s="349"/>
      <c r="G15" s="349"/>
      <c r="H15" s="349"/>
      <c r="I15" s="350"/>
      <c r="J15" s="58" t="str">
        <f>IF(AND('Mapa final'!$AA$53="Muy Alta",'Mapa final'!$AC$53="Leve"),CONCATENATE("R10C",'Mapa final'!$Q$53),"")</f>
        <v/>
      </c>
      <c r="K15" s="59" t="str">
        <f>IF(AND('Mapa final'!$AA$54="Muy Alta",'Mapa final'!$AC$54="Leve"),CONCATENATE("R10C",'Mapa final'!$Q$54),"")</f>
        <v/>
      </c>
      <c r="L15" s="59" t="str">
        <f>IF(AND('Mapa final'!$AA$55="Muy Alta",'Mapa final'!$AC$55="Leve"),CONCATENATE("R10C",'Mapa final'!$Q$55),"")</f>
        <v/>
      </c>
      <c r="M15" s="59" t="str">
        <f>IF(AND('Mapa final'!$AA$56="Muy Alta",'Mapa final'!$AC$56="Leve"),CONCATENATE("R10C",'Mapa final'!$Q$56),"")</f>
        <v/>
      </c>
      <c r="N15" s="59" t="str">
        <f>IF(AND('Mapa final'!$AA$57="Muy Alta",'Mapa final'!$AC$57="Leve"),CONCATENATE("R10C",'Mapa final'!$Q$57),"")</f>
        <v/>
      </c>
      <c r="O15" s="60" t="str">
        <f>IF(AND('Mapa final'!$AA$58="Muy Alta",'Mapa final'!$AC$58="Leve"),CONCATENATE("R10C",'Mapa final'!$Q$58),"")</f>
        <v/>
      </c>
      <c r="P15" s="52" t="str">
        <f>IF(AND('Mapa final'!$AA$53="Muy Alta",'Mapa final'!$AC$53="Menor"),CONCATENATE("R10C",'Mapa final'!$Q$53),"")</f>
        <v/>
      </c>
      <c r="Q15" s="53" t="str">
        <f>IF(AND('Mapa final'!$AA$54="Muy Alta",'Mapa final'!$AC$54="Menor"),CONCATENATE("R10C",'Mapa final'!$Q$54),"")</f>
        <v/>
      </c>
      <c r="R15" s="53" t="str">
        <f>IF(AND('Mapa final'!$AA$55="Muy Alta",'Mapa final'!$AC$55="Menor"),CONCATENATE("R10C",'Mapa final'!$Q$55),"")</f>
        <v/>
      </c>
      <c r="S15" s="53" t="str">
        <f>IF(AND('Mapa final'!$AA$56="Muy Alta",'Mapa final'!$AC$56="Menor"),CONCATENATE("R10C",'Mapa final'!$Q$56),"")</f>
        <v/>
      </c>
      <c r="T15" s="53" t="str">
        <f>IF(AND('Mapa final'!$AA$57="Muy Alta",'Mapa final'!$AC$57="Menor"),CONCATENATE("R10C",'Mapa final'!$Q$57),"")</f>
        <v/>
      </c>
      <c r="U15" s="54" t="str">
        <f>IF(AND('Mapa final'!$AA$58="Muy Alta",'Mapa final'!$AC$58="Menor"),CONCATENATE("R10C",'Mapa final'!$Q$58),"")</f>
        <v/>
      </c>
      <c r="V15" s="58" t="str">
        <f>IF(AND('Mapa final'!$AA$53="Muy Alta",'Mapa final'!$AC$53="Moderado"),CONCATENATE("R10C",'Mapa final'!$Q$53),"")</f>
        <v/>
      </c>
      <c r="W15" s="59" t="str">
        <f>IF(AND('Mapa final'!$AA$54="Muy Alta",'Mapa final'!$AC$54="Moderado"),CONCATENATE("R10C",'Mapa final'!$Q$54),"")</f>
        <v/>
      </c>
      <c r="X15" s="59" t="str">
        <f>IF(AND('Mapa final'!$AA$55="Muy Alta",'Mapa final'!$AC$55="Moderado"),CONCATENATE("R10C",'Mapa final'!$Q$55),"")</f>
        <v/>
      </c>
      <c r="Y15" s="59" t="str">
        <f>IF(AND('Mapa final'!$AA$56="Muy Alta",'Mapa final'!$AC$56="Moderado"),CONCATENATE("R10C",'Mapa final'!$Q$56),"")</f>
        <v/>
      </c>
      <c r="Z15" s="59" t="str">
        <f>IF(AND('Mapa final'!$AA$57="Muy Alta",'Mapa final'!$AC$57="Moderado"),CONCATENATE("R10C",'Mapa final'!$Q$57),"")</f>
        <v/>
      </c>
      <c r="AA15" s="60" t="str">
        <f>IF(AND('Mapa final'!$AA$58="Muy Alta",'Mapa final'!$AC$58="Moderado"),CONCATENATE("R10C",'Mapa final'!$Q$58),"")</f>
        <v/>
      </c>
      <c r="AB15" s="52" t="str">
        <f>IF(AND('Mapa final'!$AA$53="Muy Alta",'Mapa final'!$AC$53="Mayor"),CONCATENATE("R10C",'Mapa final'!$Q$53),"")</f>
        <v/>
      </c>
      <c r="AC15" s="53" t="str">
        <f>IF(AND('Mapa final'!$AA$54="Muy Alta",'Mapa final'!$AC$54="Mayor"),CONCATENATE("R10C",'Mapa final'!$Q$54),"")</f>
        <v/>
      </c>
      <c r="AD15" s="53" t="str">
        <f>IF(AND('Mapa final'!$AA$55="Muy Alta",'Mapa final'!$AC$55="Mayor"),CONCATENATE("R10C",'Mapa final'!$Q$55),"")</f>
        <v/>
      </c>
      <c r="AE15" s="53" t="str">
        <f>IF(AND('Mapa final'!$AA$56="Muy Alta",'Mapa final'!$AC$56="Mayor"),CONCATENATE("R10C",'Mapa final'!$Q$56),"")</f>
        <v/>
      </c>
      <c r="AF15" s="53" t="str">
        <f>IF(AND('Mapa final'!$AA$57="Muy Alta",'Mapa final'!$AC$57="Mayor"),CONCATENATE("R10C",'Mapa final'!$Q$57),"")</f>
        <v/>
      </c>
      <c r="AG15" s="54" t="str">
        <f>IF(AND('Mapa final'!$AA$58="Muy Alta",'Mapa final'!$AC$58="Mayor"),CONCATENATE("R10C",'Mapa final'!$Q$58),"")</f>
        <v/>
      </c>
      <c r="AH15" s="61" t="str">
        <f>IF(AND('Mapa final'!$AA$53="Muy Alta",'Mapa final'!$AC$53="Catastrófico"),CONCATENATE("R10C",'Mapa final'!$Q$53),"")</f>
        <v/>
      </c>
      <c r="AI15" s="62" t="str">
        <f>IF(AND('Mapa final'!$AA$54="Muy Alta",'Mapa final'!$AC$54="Catastrófico"),CONCATENATE("R10C",'Mapa final'!$Q$54),"")</f>
        <v/>
      </c>
      <c r="AJ15" s="62" t="str">
        <f>IF(AND('Mapa final'!$AA$55="Muy Alta",'Mapa final'!$AC$55="Catastrófico"),CONCATENATE("R10C",'Mapa final'!$Q$55),"")</f>
        <v/>
      </c>
      <c r="AK15" s="62" t="str">
        <f>IF(AND('Mapa final'!$AA$56="Muy Alta",'Mapa final'!$AC$56="Catastrófico"),CONCATENATE("R10C",'Mapa final'!$Q$56),"")</f>
        <v/>
      </c>
      <c r="AL15" s="62" t="str">
        <f>IF(AND('Mapa final'!$AA$57="Muy Alta",'Mapa final'!$AC$57="Catastrófico"),CONCATENATE("R10C",'Mapa final'!$Q$57),"")</f>
        <v/>
      </c>
      <c r="AM15" s="63" t="str">
        <f>IF(AND('Mapa final'!$AA$58="Muy Alta",'Mapa final'!$AC$58="Catastrófico"),CONCATENATE("R10C",'Mapa final'!$Q$58),"")</f>
        <v/>
      </c>
      <c r="AN15" s="83"/>
      <c r="AO15" s="368"/>
      <c r="AP15" s="369"/>
      <c r="AQ15" s="369"/>
      <c r="AR15" s="369"/>
      <c r="AS15" s="369"/>
      <c r="AT15" s="37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35">
      <c r="A16" s="83"/>
      <c r="B16" s="304"/>
      <c r="C16" s="304"/>
      <c r="D16" s="305"/>
      <c r="E16" s="342" t="s">
        <v>107</v>
      </c>
      <c r="F16" s="343"/>
      <c r="G16" s="343"/>
      <c r="H16" s="343"/>
      <c r="I16" s="343"/>
      <c r="J16" s="64" t="str">
        <f ca="1">IF(AND('Mapa final'!$AA$11="Alta",'Mapa final'!$AC$11="Leve"),CONCATENATE("R1C",'Mapa final'!$Q$11),"")</f>
        <v/>
      </c>
      <c r="K16" s="65" t="str">
        <f>IF(AND('Mapa final'!$AA$12="Alta",'Mapa final'!$AC$12="Leve"),CONCATENATE("R1C",'Mapa final'!$Q$12),"")</f>
        <v/>
      </c>
      <c r="L16" s="65" t="str">
        <f>IF(AND('Mapa final'!$AA$13="Alta",'Mapa final'!$AC$13="Leve"),CONCATENATE("R1C",'Mapa final'!$Q$13),"")</f>
        <v/>
      </c>
      <c r="M16" s="65" t="str">
        <f>IF(AND('Mapa final'!$AA$14="Alta",'Mapa final'!$AC$14="Leve"),CONCATENATE("R1C",'Mapa final'!$Q$14),"")</f>
        <v/>
      </c>
      <c r="N16" s="65" t="str">
        <f>IF(AND('Mapa final'!$AA$15="Alta",'Mapa final'!$AC$15="Leve"),CONCATENATE("R1C",'Mapa final'!$Q$15),"")</f>
        <v/>
      </c>
      <c r="O16" s="66" t="str">
        <f>IF(AND('Mapa final'!$AA$16="Alta",'Mapa final'!$AC$16="Leve"),CONCATENATE("R1C",'Mapa final'!$Q$16),"")</f>
        <v/>
      </c>
      <c r="P16" s="64" t="str">
        <f ca="1">IF(AND('Mapa final'!$AA$11="Alta",'Mapa final'!$AC$11="Menor"),CONCATENATE("R1C",'Mapa final'!$Q$11),"")</f>
        <v/>
      </c>
      <c r="Q16" s="65" t="str">
        <f>IF(AND('Mapa final'!$AA$12="Alta",'Mapa final'!$AC$12="Menor"),CONCATENATE("R1C",'Mapa final'!$Q$12),"")</f>
        <v/>
      </c>
      <c r="R16" s="65" t="str">
        <f>IF(AND('Mapa final'!$AA$13="Alta",'Mapa final'!$AC$13="Menor"),CONCATENATE("R1C",'Mapa final'!$Q$13),"")</f>
        <v/>
      </c>
      <c r="S16" s="65" t="str">
        <f>IF(AND('Mapa final'!$AA$14="Alta",'Mapa final'!$AC$14="Menor"),CONCATENATE("R1C",'Mapa final'!$Q$14),"")</f>
        <v/>
      </c>
      <c r="T16" s="65" t="str">
        <f>IF(AND('Mapa final'!$AA$15="Alta",'Mapa final'!$AC$15="Menor"),CONCATENATE("R1C",'Mapa final'!$Q$15),"")</f>
        <v/>
      </c>
      <c r="U16" s="66" t="str">
        <f>IF(AND('Mapa final'!$AA$16="Alta",'Mapa final'!$AC$16="Menor"),CONCATENATE("R1C",'Mapa final'!$Q$16),"")</f>
        <v/>
      </c>
      <c r="V16" s="46" t="str">
        <f ca="1">IF(AND('Mapa final'!$AA$11="Alta",'Mapa final'!$AC$11="Moderado"),CONCATENATE("R1C",'Mapa final'!$Q$11),"")</f>
        <v/>
      </c>
      <c r="W16" s="47" t="str">
        <f>IF(AND('Mapa final'!$AA$12="Alta",'Mapa final'!$AC$12="Moderado"),CONCATENATE("R1C",'Mapa final'!$Q$12),"")</f>
        <v/>
      </c>
      <c r="X16" s="47" t="str">
        <f>IF(AND('Mapa final'!$AA$13="Alta",'Mapa final'!$AC$13="Moderado"),CONCATENATE("R1C",'Mapa final'!$Q$13),"")</f>
        <v/>
      </c>
      <c r="Y16" s="47" t="str">
        <f>IF(AND('Mapa final'!$AA$14="Alta",'Mapa final'!$AC$14="Moderado"),CONCATENATE("R1C",'Mapa final'!$Q$14),"")</f>
        <v/>
      </c>
      <c r="Z16" s="47" t="str">
        <f>IF(AND('Mapa final'!$AA$15="Alta",'Mapa final'!$AC$15="Moderado"),CONCATENATE("R1C",'Mapa final'!$Q$15),"")</f>
        <v/>
      </c>
      <c r="AA16" s="48" t="str">
        <f>IF(AND('Mapa final'!$AA$16="Alta",'Mapa final'!$AC$16="Moderado"),CONCATENATE("R1C",'Mapa final'!$Q$16),"")</f>
        <v/>
      </c>
      <c r="AB16" s="46" t="str">
        <f ca="1">IF(AND('Mapa final'!$AA$11="Alta",'Mapa final'!$AC$11="Mayor"),CONCATENATE("R1C",'Mapa final'!$Q$11),"")</f>
        <v/>
      </c>
      <c r="AC16" s="47" t="str">
        <f>IF(AND('Mapa final'!$AA$12="Alta",'Mapa final'!$AC$12="Mayor"),CONCATENATE("R1C",'Mapa final'!$Q$12),"")</f>
        <v/>
      </c>
      <c r="AD16" s="47" t="str">
        <f>IF(AND('Mapa final'!$AA$13="Alta",'Mapa final'!$AC$13="Mayor"),CONCATENATE("R1C",'Mapa final'!$Q$13),"")</f>
        <v/>
      </c>
      <c r="AE16" s="47" t="str">
        <f>IF(AND('Mapa final'!$AA$14="Alta",'Mapa final'!$AC$14="Mayor"),CONCATENATE("R1C",'Mapa final'!$Q$14),"")</f>
        <v/>
      </c>
      <c r="AF16" s="47" t="str">
        <f>IF(AND('Mapa final'!$AA$15="Alta",'Mapa final'!$AC$15="Mayor"),CONCATENATE("R1C",'Mapa final'!$Q$15),"")</f>
        <v/>
      </c>
      <c r="AG16" s="48" t="str">
        <f>IF(AND('Mapa final'!$AA$16="Alta",'Mapa final'!$AC$16="Mayor"),CONCATENATE("R1C",'Mapa final'!$Q$16),"")</f>
        <v/>
      </c>
      <c r="AH16" s="49" t="str">
        <f ca="1">IF(AND('Mapa final'!$AA$11="Alta",'Mapa final'!$AC$11="Catastrófico"),CONCATENATE("R1C",'Mapa final'!$Q$11),"")</f>
        <v/>
      </c>
      <c r="AI16" s="50" t="str">
        <f>IF(AND('Mapa final'!$AA$12="Alta",'Mapa final'!$AC$12="Catastrófico"),CONCATENATE("R1C",'Mapa final'!$Q$12),"")</f>
        <v/>
      </c>
      <c r="AJ16" s="50" t="str">
        <f>IF(AND('Mapa final'!$AA$13="Alta",'Mapa final'!$AC$13="Catastrófico"),CONCATENATE("R1C",'Mapa final'!$Q$13),"")</f>
        <v/>
      </c>
      <c r="AK16" s="50" t="str">
        <f>IF(AND('Mapa final'!$AA$14="Alta",'Mapa final'!$AC$14="Catastrófico"),CONCATENATE("R1C",'Mapa final'!$Q$14),"")</f>
        <v/>
      </c>
      <c r="AL16" s="50" t="str">
        <f>IF(AND('Mapa final'!$AA$15="Alta",'Mapa final'!$AC$15="Catastrófico"),CONCATENATE("R1C",'Mapa final'!$Q$15),"")</f>
        <v/>
      </c>
      <c r="AM16" s="51" t="str">
        <f>IF(AND('Mapa final'!$AA$16="Alta",'Mapa final'!$AC$16="Catastrófico"),CONCATENATE("R1C",'Mapa final'!$Q$16),"")</f>
        <v/>
      </c>
      <c r="AN16" s="83"/>
      <c r="AO16" s="352" t="s">
        <v>77</v>
      </c>
      <c r="AP16" s="353"/>
      <c r="AQ16" s="353"/>
      <c r="AR16" s="353"/>
      <c r="AS16" s="353"/>
      <c r="AT16" s="3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35">
      <c r="A17" s="83"/>
      <c r="B17" s="304"/>
      <c r="C17" s="304"/>
      <c r="D17" s="305"/>
      <c r="E17" s="361"/>
      <c r="F17" s="346"/>
      <c r="G17" s="346"/>
      <c r="H17" s="346"/>
      <c r="I17" s="346"/>
      <c r="J17" s="67" t="e">
        <f>IF(AND('Mapa final'!#REF!="Alta",'Mapa final'!#REF!="Leve"),CONCATENATE("R2C",'Mapa final'!#REF!),"")</f>
        <v>#REF!</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e">
        <f>IF(AND('Mapa final'!#REF!="Alta",'Mapa final'!#REF!="Menor"),CONCATENATE("R2C",'Mapa final'!#REF!),"")</f>
        <v>#REF!</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55"/>
      <c r="AP17" s="356"/>
      <c r="AQ17" s="356"/>
      <c r="AR17" s="356"/>
      <c r="AS17" s="356"/>
      <c r="AT17" s="35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35">
      <c r="A18" s="83"/>
      <c r="B18" s="304"/>
      <c r="C18" s="304"/>
      <c r="D18" s="305"/>
      <c r="E18" s="345"/>
      <c r="F18" s="346"/>
      <c r="G18" s="346"/>
      <c r="H18" s="346"/>
      <c r="I18" s="346"/>
      <c r="J18" s="67" t="e">
        <f>IF(AND('Mapa final'!#REF!="Alta",'Mapa final'!#REF!="Leve"),CONCATENATE("R3C",'Mapa final'!#REF!),"")</f>
        <v>#REF!</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e">
        <f>IF(AND('Mapa final'!#REF!="Alta",'Mapa final'!#REF!="Menor"),CONCATENATE("R3C",'Mapa final'!#REF!),"")</f>
        <v>#REF!</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e">
        <f>IF(AND('Mapa final'!#REF!="Alta",'Mapa final'!#REF!="Moderado"),CONCATENATE("R3C",'Mapa final'!#REF!),"")</f>
        <v>#REF!</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e">
        <f>IF(AND('Mapa final'!#REF!="Alta",'Mapa final'!#REF!="Mayor"),CONCATENATE("R3C",'Mapa final'!#REF!),"")</f>
        <v>#REF!</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e">
        <f>IF(AND('Mapa final'!#REF!="Alta",'Mapa final'!#REF!="Catastrófico"),CONCATENATE("R3C",'Mapa final'!#REF!),"")</f>
        <v>#REF!</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55"/>
      <c r="AP18" s="356"/>
      <c r="AQ18" s="356"/>
      <c r="AR18" s="356"/>
      <c r="AS18" s="356"/>
      <c r="AT18" s="35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35">
      <c r="A19" s="83"/>
      <c r="B19" s="304"/>
      <c r="C19" s="304"/>
      <c r="D19" s="305"/>
      <c r="E19" s="345"/>
      <c r="F19" s="346"/>
      <c r="G19" s="346"/>
      <c r="H19" s="346"/>
      <c r="I19" s="346"/>
      <c r="J19" s="67" t="str">
        <f ca="1">IF(AND('Mapa final'!$AA$17="Alta",'Mapa final'!$AC$17="Leve"),CONCATENATE("R4C",'Mapa final'!$Q$17),"")</f>
        <v/>
      </c>
      <c r="K19" s="68" t="str">
        <f>IF(AND('Mapa final'!$AA$18="Alta",'Mapa final'!$AC$18="Leve"),CONCATENATE("R4C",'Mapa final'!$Q$18),"")</f>
        <v/>
      </c>
      <c r="L19" s="68" t="str">
        <f>IF(AND('Mapa final'!$AA$19="Alta",'Mapa final'!$AC$19="Leve"),CONCATENATE("R4C",'Mapa final'!$Q$19),"")</f>
        <v/>
      </c>
      <c r="M19" s="68" t="str">
        <f>IF(AND('Mapa final'!$AA$20="Alta",'Mapa final'!$AC$20="Leve"),CONCATENATE("R4C",'Mapa final'!$Q$20),"")</f>
        <v/>
      </c>
      <c r="N19" s="68" t="str">
        <f>IF(AND('Mapa final'!$AA$21="Alta",'Mapa final'!$AC$21="Leve"),CONCATENATE("R4C",'Mapa final'!$Q$21),"")</f>
        <v/>
      </c>
      <c r="O19" s="69" t="str">
        <f>IF(AND('Mapa final'!$AA$22="Alta",'Mapa final'!$AC$22="Leve"),CONCATENATE("R4C",'Mapa final'!$Q$22),"")</f>
        <v/>
      </c>
      <c r="P19" s="67" t="str">
        <f ca="1">IF(AND('Mapa final'!$AA$17="Alta",'Mapa final'!$AC$17="Menor"),CONCATENATE("R4C",'Mapa final'!$Q$17),"")</f>
        <v/>
      </c>
      <c r="Q19" s="68" t="str">
        <f>IF(AND('Mapa final'!$AA$18="Alta",'Mapa final'!$AC$18="Menor"),CONCATENATE("R4C",'Mapa final'!$Q$18),"")</f>
        <v/>
      </c>
      <c r="R19" s="68" t="str">
        <f>IF(AND('Mapa final'!$AA$19="Alta",'Mapa final'!$AC$19="Menor"),CONCATENATE("R4C",'Mapa final'!$Q$19),"")</f>
        <v/>
      </c>
      <c r="S19" s="68" t="str">
        <f>IF(AND('Mapa final'!$AA$20="Alta",'Mapa final'!$AC$20="Menor"),CONCATENATE("R4C",'Mapa final'!$Q$20),"")</f>
        <v/>
      </c>
      <c r="T19" s="68" t="str">
        <f>IF(AND('Mapa final'!$AA$21="Alta",'Mapa final'!$AC$21="Menor"),CONCATENATE("R4C",'Mapa final'!$Q$21),"")</f>
        <v/>
      </c>
      <c r="U19" s="69" t="str">
        <f>IF(AND('Mapa final'!$AA$22="Alta",'Mapa final'!$AC$22="Menor"),CONCATENATE("R4C",'Mapa final'!$Q$22),"")</f>
        <v/>
      </c>
      <c r="V19" s="52" t="str">
        <f ca="1">IF(AND('Mapa final'!$AA$17="Alta",'Mapa final'!$AC$17="Moderado"),CONCATENATE("R4C",'Mapa final'!$Q$17),"")</f>
        <v/>
      </c>
      <c r="W19" s="53" t="str">
        <f>IF(AND('Mapa final'!$AA$18="Alta",'Mapa final'!$AC$18="Moderado"),CONCATENATE("R4C",'Mapa final'!$Q$18),"")</f>
        <v/>
      </c>
      <c r="X19" s="53" t="str">
        <f>IF(AND('Mapa final'!$AA$19="Alta",'Mapa final'!$AC$19="Moderado"),CONCATENATE("R4C",'Mapa final'!$Q$19),"")</f>
        <v/>
      </c>
      <c r="Y19" s="53" t="str">
        <f>IF(AND('Mapa final'!$AA$20="Alta",'Mapa final'!$AC$20="Moderado"),CONCATENATE("R4C",'Mapa final'!$Q$20),"")</f>
        <v/>
      </c>
      <c r="Z19" s="53" t="str">
        <f>IF(AND('Mapa final'!$AA$21="Alta",'Mapa final'!$AC$21="Moderado"),CONCATENATE("R4C",'Mapa final'!$Q$21),"")</f>
        <v/>
      </c>
      <c r="AA19" s="54" t="str">
        <f>IF(AND('Mapa final'!$AA$22="Alta",'Mapa final'!$AC$22="Moderado"),CONCATENATE("R4C",'Mapa final'!$Q$22),"")</f>
        <v/>
      </c>
      <c r="AB19" s="52" t="str">
        <f ca="1">IF(AND('Mapa final'!$AA$17="Alta",'Mapa final'!$AC$17="Mayor"),CONCATENATE("R4C",'Mapa final'!$Q$17),"")</f>
        <v/>
      </c>
      <c r="AC19" s="53" t="str">
        <f>IF(AND('Mapa final'!$AA$18="Alta",'Mapa final'!$AC$18="Mayor"),CONCATENATE("R4C",'Mapa final'!$Q$18),"")</f>
        <v/>
      </c>
      <c r="AD19" s="53" t="str">
        <f>IF(AND('Mapa final'!$AA$19="Alta",'Mapa final'!$AC$19="Mayor"),CONCATENATE("R4C",'Mapa final'!$Q$19),"")</f>
        <v/>
      </c>
      <c r="AE19" s="53" t="str">
        <f>IF(AND('Mapa final'!$AA$20="Alta",'Mapa final'!$AC$20="Mayor"),CONCATENATE("R4C",'Mapa final'!$Q$20),"")</f>
        <v/>
      </c>
      <c r="AF19" s="53" t="str">
        <f>IF(AND('Mapa final'!$AA$21="Alta",'Mapa final'!$AC$21="Mayor"),CONCATENATE("R4C",'Mapa final'!$Q$21),"")</f>
        <v/>
      </c>
      <c r="AG19" s="54" t="str">
        <f>IF(AND('Mapa final'!$AA$22="Alta",'Mapa final'!$AC$22="Mayor"),CONCATENATE("R4C",'Mapa final'!$Q$22),"")</f>
        <v/>
      </c>
      <c r="AH19" s="55" t="str">
        <f ca="1">IF(AND('Mapa final'!$AA$17="Alta",'Mapa final'!$AC$17="Catastrófico"),CONCATENATE("R4C",'Mapa final'!$Q$17),"")</f>
        <v/>
      </c>
      <c r="AI19" s="56" t="str">
        <f>IF(AND('Mapa final'!$AA$18="Alta",'Mapa final'!$AC$18="Catastrófico"),CONCATENATE("R4C",'Mapa final'!$Q$18),"")</f>
        <v/>
      </c>
      <c r="AJ19" s="56" t="str">
        <f>IF(AND('Mapa final'!$AA$19="Alta",'Mapa final'!$AC$19="Catastrófico"),CONCATENATE("R4C",'Mapa final'!$Q$19),"")</f>
        <v/>
      </c>
      <c r="AK19" s="56" t="str">
        <f>IF(AND('Mapa final'!$AA$20="Alta",'Mapa final'!$AC$20="Catastrófico"),CONCATENATE("R4C",'Mapa final'!$Q$20),"")</f>
        <v/>
      </c>
      <c r="AL19" s="56" t="str">
        <f>IF(AND('Mapa final'!$AA$21="Alta",'Mapa final'!$AC$21="Catastrófico"),CONCATENATE("R4C",'Mapa final'!$Q$21),"")</f>
        <v/>
      </c>
      <c r="AM19" s="57" t="str">
        <f>IF(AND('Mapa final'!$AA$22="Alta",'Mapa final'!$AC$22="Catastrófico"),CONCATENATE("R4C",'Mapa final'!$Q$22),"")</f>
        <v/>
      </c>
      <c r="AN19" s="83"/>
      <c r="AO19" s="355"/>
      <c r="AP19" s="356"/>
      <c r="AQ19" s="356"/>
      <c r="AR19" s="356"/>
      <c r="AS19" s="356"/>
      <c r="AT19" s="35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35">
      <c r="A20" s="83"/>
      <c r="B20" s="304"/>
      <c r="C20" s="304"/>
      <c r="D20" s="305"/>
      <c r="E20" s="345"/>
      <c r="F20" s="346"/>
      <c r="G20" s="346"/>
      <c r="H20" s="346"/>
      <c r="I20" s="346"/>
      <c r="J20" s="67" t="str">
        <f ca="1">IF(AND('Mapa final'!$AA$23="Alta",'Mapa final'!$AC$23="Leve"),CONCATENATE("R5C",'Mapa final'!$Q$23),"")</f>
        <v/>
      </c>
      <c r="K20" s="68" t="str">
        <f>IF(AND('Mapa final'!$AA$24="Alta",'Mapa final'!$AC$24="Leve"),CONCATENATE("R5C",'Mapa final'!$Q$24),"")</f>
        <v/>
      </c>
      <c r="L20" s="68" t="str">
        <f>IF(AND('Mapa final'!$AA$25="Alta",'Mapa final'!$AC$25="Leve"),CONCATENATE("R5C",'Mapa final'!$Q$25),"")</f>
        <v/>
      </c>
      <c r="M20" s="68" t="str">
        <f>IF(AND('Mapa final'!$AA$26="Alta",'Mapa final'!$AC$26="Leve"),CONCATENATE("R5C",'Mapa final'!$Q$26),"")</f>
        <v/>
      </c>
      <c r="N20" s="68" t="str">
        <f>IF(AND('Mapa final'!$AA$27="Alta",'Mapa final'!$AC$27="Leve"),CONCATENATE("R5C",'Mapa final'!$Q$27),"")</f>
        <v/>
      </c>
      <c r="O20" s="69" t="str">
        <f>IF(AND('Mapa final'!$AA$28="Alta",'Mapa final'!$AC$28="Leve"),CONCATENATE("R5C",'Mapa final'!$Q$28),"")</f>
        <v/>
      </c>
      <c r="P20" s="67" t="str">
        <f ca="1">IF(AND('Mapa final'!$AA$23="Alta",'Mapa final'!$AC$23="Menor"),CONCATENATE("R5C",'Mapa final'!$Q$23),"")</f>
        <v/>
      </c>
      <c r="Q20" s="68" t="str">
        <f>IF(AND('Mapa final'!$AA$24="Alta",'Mapa final'!$AC$24="Menor"),CONCATENATE("R5C",'Mapa final'!$Q$24),"")</f>
        <v/>
      </c>
      <c r="R20" s="68" t="str">
        <f>IF(AND('Mapa final'!$AA$25="Alta",'Mapa final'!$AC$25="Menor"),CONCATENATE("R5C",'Mapa final'!$Q$25),"")</f>
        <v/>
      </c>
      <c r="S20" s="68" t="str">
        <f>IF(AND('Mapa final'!$AA$26="Alta",'Mapa final'!$AC$26="Menor"),CONCATENATE("R5C",'Mapa final'!$Q$26),"")</f>
        <v/>
      </c>
      <c r="T20" s="68" t="str">
        <f>IF(AND('Mapa final'!$AA$27="Alta",'Mapa final'!$AC$27="Menor"),CONCATENATE("R5C",'Mapa final'!$Q$27),"")</f>
        <v/>
      </c>
      <c r="U20" s="69" t="str">
        <f>IF(AND('Mapa final'!$AA$28="Alta",'Mapa final'!$AC$28="Menor"),CONCATENATE("R5C",'Mapa final'!$Q$28),"")</f>
        <v/>
      </c>
      <c r="V20" s="52" t="str">
        <f ca="1">IF(AND('Mapa final'!$AA$23="Alta",'Mapa final'!$AC$23="Moderado"),CONCATENATE("R5C",'Mapa final'!$Q$23),"")</f>
        <v/>
      </c>
      <c r="W20" s="53" t="str">
        <f>IF(AND('Mapa final'!$AA$24="Alta",'Mapa final'!$AC$24="Moderado"),CONCATENATE("R5C",'Mapa final'!$Q$24),"")</f>
        <v/>
      </c>
      <c r="X20" s="53" t="str">
        <f>IF(AND('Mapa final'!$AA$25="Alta",'Mapa final'!$AC$25="Moderado"),CONCATENATE("R5C",'Mapa final'!$Q$25),"")</f>
        <v/>
      </c>
      <c r="Y20" s="53" t="str">
        <f>IF(AND('Mapa final'!$AA$26="Alta",'Mapa final'!$AC$26="Moderado"),CONCATENATE("R5C",'Mapa final'!$Q$26),"")</f>
        <v/>
      </c>
      <c r="Z20" s="53" t="str">
        <f>IF(AND('Mapa final'!$AA$27="Alta",'Mapa final'!$AC$27="Moderado"),CONCATENATE("R5C",'Mapa final'!$Q$27),"")</f>
        <v/>
      </c>
      <c r="AA20" s="54" t="str">
        <f>IF(AND('Mapa final'!$AA$28="Alta",'Mapa final'!$AC$28="Moderado"),CONCATENATE("R5C",'Mapa final'!$Q$28),"")</f>
        <v/>
      </c>
      <c r="AB20" s="52" t="str">
        <f ca="1">IF(AND('Mapa final'!$AA$23="Alta",'Mapa final'!$AC$23="Mayor"),CONCATENATE("R5C",'Mapa final'!$Q$23),"")</f>
        <v/>
      </c>
      <c r="AC20" s="53" t="str">
        <f>IF(AND('Mapa final'!$AA$24="Alta",'Mapa final'!$AC$24="Mayor"),CONCATENATE("R5C",'Mapa final'!$Q$24),"")</f>
        <v/>
      </c>
      <c r="AD20" s="53" t="str">
        <f>IF(AND('Mapa final'!$AA$25="Alta",'Mapa final'!$AC$25="Mayor"),CONCATENATE("R5C",'Mapa final'!$Q$25),"")</f>
        <v/>
      </c>
      <c r="AE20" s="53" t="str">
        <f>IF(AND('Mapa final'!$AA$26="Alta",'Mapa final'!$AC$26="Mayor"),CONCATENATE("R5C",'Mapa final'!$Q$26),"")</f>
        <v/>
      </c>
      <c r="AF20" s="53" t="str">
        <f>IF(AND('Mapa final'!$AA$27="Alta",'Mapa final'!$AC$27="Mayor"),CONCATENATE("R5C",'Mapa final'!$Q$27),"")</f>
        <v/>
      </c>
      <c r="AG20" s="54" t="str">
        <f>IF(AND('Mapa final'!$AA$28="Alta",'Mapa final'!$AC$28="Mayor"),CONCATENATE("R5C",'Mapa final'!$Q$28),"")</f>
        <v/>
      </c>
      <c r="AH20" s="55" t="str">
        <f ca="1">IF(AND('Mapa final'!$AA$23="Alta",'Mapa final'!$AC$23="Catastrófico"),CONCATENATE("R5C",'Mapa final'!$Q$23),"")</f>
        <v/>
      </c>
      <c r="AI20" s="56" t="str">
        <f>IF(AND('Mapa final'!$AA$24="Alta",'Mapa final'!$AC$24="Catastrófico"),CONCATENATE("R5C",'Mapa final'!$Q$24),"")</f>
        <v/>
      </c>
      <c r="AJ20" s="56" t="str">
        <f>IF(AND('Mapa final'!$AA$25="Alta",'Mapa final'!$AC$25="Catastrófico"),CONCATENATE("R5C",'Mapa final'!$Q$25),"")</f>
        <v/>
      </c>
      <c r="AK20" s="56" t="str">
        <f>IF(AND('Mapa final'!$AA$26="Alta",'Mapa final'!$AC$26="Catastrófico"),CONCATENATE("R5C",'Mapa final'!$Q$26),"")</f>
        <v/>
      </c>
      <c r="AL20" s="56" t="str">
        <f>IF(AND('Mapa final'!$AA$27="Alta",'Mapa final'!$AC$27="Catastrófico"),CONCATENATE("R5C",'Mapa final'!$Q$27),"")</f>
        <v/>
      </c>
      <c r="AM20" s="57" t="str">
        <f>IF(AND('Mapa final'!$AA$28="Alta",'Mapa final'!$AC$28="Catastrófico"),CONCATENATE("R5C",'Mapa final'!$Q$28),"")</f>
        <v/>
      </c>
      <c r="AN20" s="83"/>
      <c r="AO20" s="355"/>
      <c r="AP20" s="356"/>
      <c r="AQ20" s="356"/>
      <c r="AR20" s="356"/>
      <c r="AS20" s="356"/>
      <c r="AT20" s="35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35">
      <c r="A21" s="83"/>
      <c r="B21" s="304"/>
      <c r="C21" s="304"/>
      <c r="D21" s="305"/>
      <c r="E21" s="345"/>
      <c r="F21" s="346"/>
      <c r="G21" s="346"/>
      <c r="H21" s="346"/>
      <c r="I21" s="346"/>
      <c r="J21" s="67" t="str">
        <f ca="1">IF(AND('Mapa final'!$AA$29="Alta",'Mapa final'!$AC$29="Leve"),CONCATENATE("R6C",'Mapa final'!$Q$29),"")</f>
        <v/>
      </c>
      <c r="K21" s="68" t="str">
        <f>IF(AND('Mapa final'!$AA$30="Alta",'Mapa final'!$AC$30="Leve"),CONCATENATE("R6C",'Mapa final'!$Q$30),"")</f>
        <v/>
      </c>
      <c r="L21" s="68" t="str">
        <f>IF(AND('Mapa final'!$AA$31="Alta",'Mapa final'!$AC$31="Leve"),CONCATENATE("R6C",'Mapa final'!$Q$31),"")</f>
        <v/>
      </c>
      <c r="M21" s="68" t="str">
        <f>IF(AND('Mapa final'!$AA$32="Alta",'Mapa final'!$AC$32="Leve"),CONCATENATE("R6C",'Mapa final'!$Q$32),"")</f>
        <v/>
      </c>
      <c r="N21" s="68" t="str">
        <f>IF(AND('Mapa final'!$AA$33="Alta",'Mapa final'!$AC$33="Leve"),CONCATENATE("R6C",'Mapa final'!$Q$33),"")</f>
        <v/>
      </c>
      <c r="O21" s="69" t="str">
        <f>IF(AND('Mapa final'!$AA$34="Alta",'Mapa final'!$AC$34="Leve"),CONCATENATE("R6C",'Mapa final'!$Q$34),"")</f>
        <v/>
      </c>
      <c r="P21" s="67" t="str">
        <f ca="1">IF(AND('Mapa final'!$AA$29="Alta",'Mapa final'!$AC$29="Menor"),CONCATENATE("R6C",'Mapa final'!$Q$29),"")</f>
        <v/>
      </c>
      <c r="Q21" s="68" t="str">
        <f>IF(AND('Mapa final'!$AA$30="Alta",'Mapa final'!$AC$30="Menor"),CONCATENATE("R6C",'Mapa final'!$Q$30),"")</f>
        <v/>
      </c>
      <c r="R21" s="68" t="str">
        <f>IF(AND('Mapa final'!$AA$31="Alta",'Mapa final'!$AC$31="Menor"),CONCATENATE("R6C",'Mapa final'!$Q$31),"")</f>
        <v/>
      </c>
      <c r="S21" s="68" t="str">
        <f>IF(AND('Mapa final'!$AA$32="Alta",'Mapa final'!$AC$32="Menor"),CONCATENATE("R6C",'Mapa final'!$Q$32),"")</f>
        <v/>
      </c>
      <c r="T21" s="68" t="str">
        <f>IF(AND('Mapa final'!$AA$33="Alta",'Mapa final'!$AC$33="Menor"),CONCATENATE("R6C",'Mapa final'!$Q$33),"")</f>
        <v/>
      </c>
      <c r="U21" s="69" t="str">
        <f>IF(AND('Mapa final'!$AA$34="Alta",'Mapa final'!$AC$34="Menor"),CONCATENATE("R6C",'Mapa final'!$Q$34),"")</f>
        <v/>
      </c>
      <c r="V21" s="52" t="str">
        <f ca="1">IF(AND('Mapa final'!$AA$29="Alta",'Mapa final'!$AC$29="Moderado"),CONCATENATE("R6C",'Mapa final'!$Q$29),"")</f>
        <v/>
      </c>
      <c r="W21" s="53" t="str">
        <f>IF(AND('Mapa final'!$AA$30="Alta",'Mapa final'!$AC$30="Moderado"),CONCATENATE("R6C",'Mapa final'!$Q$30),"")</f>
        <v/>
      </c>
      <c r="X21" s="53" t="str">
        <f>IF(AND('Mapa final'!$AA$31="Alta",'Mapa final'!$AC$31="Moderado"),CONCATENATE("R6C",'Mapa final'!$Q$31),"")</f>
        <v/>
      </c>
      <c r="Y21" s="53" t="str">
        <f>IF(AND('Mapa final'!$AA$32="Alta",'Mapa final'!$AC$32="Moderado"),CONCATENATE("R6C",'Mapa final'!$Q$32),"")</f>
        <v/>
      </c>
      <c r="Z21" s="53" t="str">
        <f>IF(AND('Mapa final'!$AA$33="Alta",'Mapa final'!$AC$33="Moderado"),CONCATENATE("R6C",'Mapa final'!$Q$33),"")</f>
        <v/>
      </c>
      <c r="AA21" s="54" t="str">
        <f>IF(AND('Mapa final'!$AA$34="Alta",'Mapa final'!$AC$34="Moderado"),CONCATENATE("R6C",'Mapa final'!$Q$34),"")</f>
        <v/>
      </c>
      <c r="AB21" s="52" t="str">
        <f ca="1">IF(AND('Mapa final'!$AA$29="Alta",'Mapa final'!$AC$29="Mayor"),CONCATENATE("R6C",'Mapa final'!$Q$29),"")</f>
        <v/>
      </c>
      <c r="AC21" s="53" t="str">
        <f>IF(AND('Mapa final'!$AA$30="Alta",'Mapa final'!$AC$30="Mayor"),CONCATENATE("R6C",'Mapa final'!$Q$30),"")</f>
        <v/>
      </c>
      <c r="AD21" s="53" t="str">
        <f>IF(AND('Mapa final'!$AA$31="Alta",'Mapa final'!$AC$31="Mayor"),CONCATENATE("R6C",'Mapa final'!$Q$31),"")</f>
        <v/>
      </c>
      <c r="AE21" s="53" t="str">
        <f>IF(AND('Mapa final'!$AA$32="Alta",'Mapa final'!$AC$32="Mayor"),CONCATENATE("R6C",'Mapa final'!$Q$32),"")</f>
        <v/>
      </c>
      <c r="AF21" s="53" t="str">
        <f>IF(AND('Mapa final'!$AA$33="Alta",'Mapa final'!$AC$33="Mayor"),CONCATENATE("R6C",'Mapa final'!$Q$33),"")</f>
        <v/>
      </c>
      <c r="AG21" s="54" t="str">
        <f>IF(AND('Mapa final'!$AA$34="Alta",'Mapa final'!$AC$34="Mayor"),CONCATENATE("R6C",'Mapa final'!$Q$34),"")</f>
        <v/>
      </c>
      <c r="AH21" s="55" t="str">
        <f ca="1">IF(AND('Mapa final'!$AA$29="Alta",'Mapa final'!$AC$29="Catastrófico"),CONCATENATE("R6C",'Mapa final'!$Q$29),"")</f>
        <v/>
      </c>
      <c r="AI21" s="56" t="str">
        <f>IF(AND('Mapa final'!$AA$30="Alta",'Mapa final'!$AC$30="Catastrófico"),CONCATENATE("R6C",'Mapa final'!$Q$30),"")</f>
        <v/>
      </c>
      <c r="AJ21" s="56" t="str">
        <f>IF(AND('Mapa final'!$AA$31="Alta",'Mapa final'!$AC$31="Catastrófico"),CONCATENATE("R6C",'Mapa final'!$Q$31),"")</f>
        <v/>
      </c>
      <c r="AK21" s="56" t="str">
        <f>IF(AND('Mapa final'!$AA$32="Alta",'Mapa final'!$AC$32="Catastrófico"),CONCATENATE("R6C",'Mapa final'!$Q$32),"")</f>
        <v/>
      </c>
      <c r="AL21" s="56" t="str">
        <f>IF(AND('Mapa final'!$AA$33="Alta",'Mapa final'!$AC$33="Catastrófico"),CONCATENATE("R6C",'Mapa final'!$Q$33),"")</f>
        <v/>
      </c>
      <c r="AM21" s="57" t="str">
        <f>IF(AND('Mapa final'!$AA$34="Alta",'Mapa final'!$AC$34="Catastrófico"),CONCATENATE("R6C",'Mapa final'!$Q$34),"")</f>
        <v/>
      </c>
      <c r="AN21" s="83"/>
      <c r="AO21" s="355"/>
      <c r="AP21" s="356"/>
      <c r="AQ21" s="356"/>
      <c r="AR21" s="356"/>
      <c r="AS21" s="356"/>
      <c r="AT21" s="3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35">
      <c r="A22" s="83"/>
      <c r="B22" s="304"/>
      <c r="C22" s="304"/>
      <c r="D22" s="305"/>
      <c r="E22" s="345"/>
      <c r="F22" s="346"/>
      <c r="G22" s="346"/>
      <c r="H22" s="346"/>
      <c r="I22" s="346"/>
      <c r="J22" s="67" t="str">
        <f ca="1">IF(AND('Mapa final'!$AA$35="Alta",'Mapa final'!$AC$35="Leve"),CONCATENATE("R7C",'Mapa final'!$Q$35),"")</f>
        <v/>
      </c>
      <c r="K22" s="68" t="str">
        <f>IF(AND('Mapa final'!$AA$36="Alta",'Mapa final'!$AC$36="Leve"),CONCATENATE("R7C",'Mapa final'!$Q$36),"")</f>
        <v/>
      </c>
      <c r="L22" s="68" t="str">
        <f>IF(AND('Mapa final'!$AA$37="Alta",'Mapa final'!$AC$37="Leve"),CONCATENATE("R7C",'Mapa final'!$Q$37),"")</f>
        <v/>
      </c>
      <c r="M22" s="68" t="str">
        <f>IF(AND('Mapa final'!$AA$38="Alta",'Mapa final'!$AC$38="Leve"),CONCATENATE("R7C",'Mapa final'!$Q$38),"")</f>
        <v/>
      </c>
      <c r="N22" s="68" t="str">
        <f>IF(AND('Mapa final'!$AA$39="Alta",'Mapa final'!$AC$39="Leve"),CONCATENATE("R7C",'Mapa final'!$Q$39),"")</f>
        <v/>
      </c>
      <c r="O22" s="69" t="str">
        <f>IF(AND('Mapa final'!$AA$40="Alta",'Mapa final'!$AC$40="Leve"),CONCATENATE("R7C",'Mapa final'!$Q$40),"")</f>
        <v/>
      </c>
      <c r="P22" s="67" t="str">
        <f ca="1">IF(AND('Mapa final'!$AA$35="Alta",'Mapa final'!$AC$35="Menor"),CONCATENATE("R7C",'Mapa final'!$Q$35),"")</f>
        <v/>
      </c>
      <c r="Q22" s="68" t="str">
        <f>IF(AND('Mapa final'!$AA$36="Alta",'Mapa final'!$AC$36="Menor"),CONCATENATE("R7C",'Mapa final'!$Q$36),"")</f>
        <v/>
      </c>
      <c r="R22" s="68" t="str">
        <f>IF(AND('Mapa final'!$AA$37="Alta",'Mapa final'!$AC$37="Menor"),CONCATENATE("R7C",'Mapa final'!$Q$37),"")</f>
        <v/>
      </c>
      <c r="S22" s="68" t="str">
        <f>IF(AND('Mapa final'!$AA$38="Alta",'Mapa final'!$AC$38="Menor"),CONCATENATE("R7C",'Mapa final'!$Q$38),"")</f>
        <v/>
      </c>
      <c r="T22" s="68" t="str">
        <f>IF(AND('Mapa final'!$AA$39="Alta",'Mapa final'!$AC$39="Menor"),CONCATENATE("R7C",'Mapa final'!$Q$39),"")</f>
        <v/>
      </c>
      <c r="U22" s="69" t="str">
        <f>IF(AND('Mapa final'!$AA$40="Alta",'Mapa final'!$AC$40="Menor"),CONCATENATE("R7C",'Mapa final'!$Q$40),"")</f>
        <v/>
      </c>
      <c r="V22" s="52" t="str">
        <f ca="1">IF(AND('Mapa final'!$AA$35="Alta",'Mapa final'!$AC$35="Moderado"),CONCATENATE("R7C",'Mapa final'!$Q$35),"")</f>
        <v/>
      </c>
      <c r="W22" s="53" t="str">
        <f>IF(AND('Mapa final'!$AA$36="Alta",'Mapa final'!$AC$36="Moderado"),CONCATENATE("R7C",'Mapa final'!$Q$36),"")</f>
        <v/>
      </c>
      <c r="X22" s="53" t="str">
        <f>IF(AND('Mapa final'!$AA$37="Alta",'Mapa final'!$AC$37="Moderado"),CONCATENATE("R7C",'Mapa final'!$Q$37),"")</f>
        <v/>
      </c>
      <c r="Y22" s="53" t="str">
        <f>IF(AND('Mapa final'!$AA$38="Alta",'Mapa final'!$AC$38="Moderado"),CONCATENATE("R7C",'Mapa final'!$Q$38),"")</f>
        <v/>
      </c>
      <c r="Z22" s="53" t="str">
        <f>IF(AND('Mapa final'!$AA$39="Alta",'Mapa final'!$AC$39="Moderado"),CONCATENATE("R7C",'Mapa final'!$Q$39),"")</f>
        <v/>
      </c>
      <c r="AA22" s="54" t="str">
        <f>IF(AND('Mapa final'!$AA$40="Alta",'Mapa final'!$AC$40="Moderado"),CONCATENATE("R7C",'Mapa final'!$Q$40),"")</f>
        <v/>
      </c>
      <c r="AB22" s="52" t="str">
        <f ca="1">IF(AND('Mapa final'!$AA$35="Alta",'Mapa final'!$AC$35="Mayor"),CONCATENATE("R7C",'Mapa final'!$Q$35),"")</f>
        <v/>
      </c>
      <c r="AC22" s="53" t="str">
        <f>IF(AND('Mapa final'!$AA$36="Alta",'Mapa final'!$AC$36="Mayor"),CONCATENATE("R7C",'Mapa final'!$Q$36),"")</f>
        <v/>
      </c>
      <c r="AD22" s="53" t="str">
        <f>IF(AND('Mapa final'!$AA$37="Alta",'Mapa final'!$AC$37="Mayor"),CONCATENATE("R7C",'Mapa final'!$Q$37),"")</f>
        <v/>
      </c>
      <c r="AE22" s="53" t="str">
        <f>IF(AND('Mapa final'!$AA$38="Alta",'Mapa final'!$AC$38="Mayor"),CONCATENATE("R7C",'Mapa final'!$Q$38),"")</f>
        <v/>
      </c>
      <c r="AF22" s="53" t="str">
        <f>IF(AND('Mapa final'!$AA$39="Alta",'Mapa final'!$AC$39="Mayor"),CONCATENATE("R7C",'Mapa final'!$Q$39),"")</f>
        <v/>
      </c>
      <c r="AG22" s="54" t="str">
        <f>IF(AND('Mapa final'!$AA$40="Alta",'Mapa final'!$AC$40="Mayor"),CONCATENATE("R7C",'Mapa final'!$Q$40),"")</f>
        <v/>
      </c>
      <c r="AH22" s="55" t="str">
        <f ca="1">IF(AND('Mapa final'!$AA$35="Alta",'Mapa final'!$AC$35="Catastrófico"),CONCATENATE("R7C",'Mapa final'!$Q$35),"")</f>
        <v/>
      </c>
      <c r="AI22" s="56" t="str">
        <f>IF(AND('Mapa final'!$AA$36="Alta",'Mapa final'!$AC$36="Catastrófico"),CONCATENATE("R7C",'Mapa final'!$Q$36),"")</f>
        <v/>
      </c>
      <c r="AJ22" s="56" t="str">
        <f>IF(AND('Mapa final'!$AA$37="Alta",'Mapa final'!$AC$37="Catastrófico"),CONCATENATE("R7C",'Mapa final'!$Q$37),"")</f>
        <v/>
      </c>
      <c r="AK22" s="56" t="str">
        <f>IF(AND('Mapa final'!$AA$38="Alta",'Mapa final'!$AC$38="Catastrófico"),CONCATENATE("R7C",'Mapa final'!$Q$38),"")</f>
        <v/>
      </c>
      <c r="AL22" s="56" t="str">
        <f>IF(AND('Mapa final'!$AA$39="Alta",'Mapa final'!$AC$39="Catastrófico"),CONCATENATE("R7C",'Mapa final'!$Q$39),"")</f>
        <v/>
      </c>
      <c r="AM22" s="57" t="str">
        <f>IF(AND('Mapa final'!$AA$40="Alta",'Mapa final'!$AC$40="Catastrófico"),CONCATENATE("R7C",'Mapa final'!$Q$40),"")</f>
        <v/>
      </c>
      <c r="AN22" s="83"/>
      <c r="AO22" s="355"/>
      <c r="AP22" s="356"/>
      <c r="AQ22" s="356"/>
      <c r="AR22" s="356"/>
      <c r="AS22" s="356"/>
      <c r="AT22" s="35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35">
      <c r="A23" s="83"/>
      <c r="B23" s="304"/>
      <c r="C23" s="304"/>
      <c r="D23" s="305"/>
      <c r="E23" s="345"/>
      <c r="F23" s="346"/>
      <c r="G23" s="346"/>
      <c r="H23" s="346"/>
      <c r="I23" s="346"/>
      <c r="J23" s="67" t="str">
        <f>IF(AND('Mapa final'!$AA$41="Alta",'Mapa final'!$AC$41="Leve"),CONCATENATE("R8C",'Mapa final'!$Q$41),"")</f>
        <v/>
      </c>
      <c r="K23" s="68" t="str">
        <f>IF(AND('Mapa final'!$AA$42="Alta",'Mapa final'!$AC$42="Leve"),CONCATENATE("R8C",'Mapa final'!$Q$42),"")</f>
        <v/>
      </c>
      <c r="L23" s="68" t="str">
        <f>IF(AND('Mapa final'!$AA$43="Alta",'Mapa final'!$AC$43="Leve"),CONCATENATE("R8C",'Mapa final'!$Q$43),"")</f>
        <v/>
      </c>
      <c r="M23" s="68" t="str">
        <f>IF(AND('Mapa final'!$AA$44="Alta",'Mapa final'!$AC$44="Leve"),CONCATENATE("R8C",'Mapa final'!$Q$44),"")</f>
        <v/>
      </c>
      <c r="N23" s="68" t="str">
        <f>IF(AND('Mapa final'!$AA$45="Alta",'Mapa final'!$AC$45="Leve"),CONCATENATE("R8C",'Mapa final'!$Q$45),"")</f>
        <v/>
      </c>
      <c r="O23" s="69" t="str">
        <f>IF(AND('Mapa final'!$AA$46="Alta",'Mapa final'!$AC$46="Leve"),CONCATENATE("R8C",'Mapa final'!$Q$46),"")</f>
        <v/>
      </c>
      <c r="P23" s="67" t="str">
        <f>IF(AND('Mapa final'!$AA$41="Alta",'Mapa final'!$AC$41="Menor"),CONCATENATE("R8C",'Mapa final'!$Q$41),"")</f>
        <v/>
      </c>
      <c r="Q23" s="68" t="str">
        <f>IF(AND('Mapa final'!$AA$42="Alta",'Mapa final'!$AC$42="Menor"),CONCATENATE("R8C",'Mapa final'!$Q$42),"")</f>
        <v/>
      </c>
      <c r="R23" s="68" t="str">
        <f>IF(AND('Mapa final'!$AA$43="Alta",'Mapa final'!$AC$43="Menor"),CONCATENATE("R8C",'Mapa final'!$Q$43),"")</f>
        <v/>
      </c>
      <c r="S23" s="68" t="str">
        <f>IF(AND('Mapa final'!$AA$44="Alta",'Mapa final'!$AC$44="Menor"),CONCATENATE("R8C",'Mapa final'!$Q$44),"")</f>
        <v/>
      </c>
      <c r="T23" s="68" t="str">
        <f>IF(AND('Mapa final'!$AA$45="Alta",'Mapa final'!$AC$45="Menor"),CONCATENATE("R8C",'Mapa final'!$Q$45),"")</f>
        <v/>
      </c>
      <c r="U23" s="69" t="str">
        <f>IF(AND('Mapa final'!$AA$46="Alta",'Mapa final'!$AC$46="Menor"),CONCATENATE("R8C",'Mapa final'!$Q$46),"")</f>
        <v/>
      </c>
      <c r="V23" s="52" t="str">
        <f>IF(AND('Mapa final'!$AA$41="Alta",'Mapa final'!$AC$41="Moderado"),CONCATENATE("R8C",'Mapa final'!$Q$41),"")</f>
        <v/>
      </c>
      <c r="W23" s="53" t="str">
        <f>IF(AND('Mapa final'!$AA$42="Alta",'Mapa final'!$AC$42="Moderado"),CONCATENATE("R8C",'Mapa final'!$Q$42),"")</f>
        <v/>
      </c>
      <c r="X23" s="53" t="str">
        <f>IF(AND('Mapa final'!$AA$43="Alta",'Mapa final'!$AC$43="Moderado"),CONCATENATE("R8C",'Mapa final'!$Q$43),"")</f>
        <v/>
      </c>
      <c r="Y23" s="53" t="str">
        <f>IF(AND('Mapa final'!$AA$44="Alta",'Mapa final'!$AC$44="Moderado"),CONCATENATE("R8C",'Mapa final'!$Q$44),"")</f>
        <v/>
      </c>
      <c r="Z23" s="53" t="str">
        <f>IF(AND('Mapa final'!$AA$45="Alta",'Mapa final'!$AC$45="Moderado"),CONCATENATE("R8C",'Mapa final'!$Q$45),"")</f>
        <v/>
      </c>
      <c r="AA23" s="54" t="str">
        <f>IF(AND('Mapa final'!$AA$46="Alta",'Mapa final'!$AC$46="Moderado"),CONCATENATE("R8C",'Mapa final'!$Q$46),"")</f>
        <v/>
      </c>
      <c r="AB23" s="52" t="str">
        <f>IF(AND('Mapa final'!$AA$41="Alta",'Mapa final'!$AC$41="Mayor"),CONCATENATE("R8C",'Mapa final'!$Q$41),"")</f>
        <v/>
      </c>
      <c r="AC23" s="53" t="str">
        <f>IF(AND('Mapa final'!$AA$42="Alta",'Mapa final'!$AC$42="Mayor"),CONCATENATE("R8C",'Mapa final'!$Q$42),"")</f>
        <v/>
      </c>
      <c r="AD23" s="53" t="str">
        <f>IF(AND('Mapa final'!$AA$43="Alta",'Mapa final'!$AC$43="Mayor"),CONCATENATE("R8C",'Mapa final'!$Q$43),"")</f>
        <v/>
      </c>
      <c r="AE23" s="53" t="str">
        <f>IF(AND('Mapa final'!$AA$44="Alta",'Mapa final'!$AC$44="Mayor"),CONCATENATE("R8C",'Mapa final'!$Q$44),"")</f>
        <v/>
      </c>
      <c r="AF23" s="53" t="str">
        <f>IF(AND('Mapa final'!$AA$45="Alta",'Mapa final'!$AC$45="Mayor"),CONCATENATE("R8C",'Mapa final'!$Q$45),"")</f>
        <v/>
      </c>
      <c r="AG23" s="54" t="str">
        <f>IF(AND('Mapa final'!$AA$46="Alta",'Mapa final'!$AC$46="Mayor"),CONCATENATE("R8C",'Mapa final'!$Q$46),"")</f>
        <v/>
      </c>
      <c r="AH23" s="55" t="str">
        <f>IF(AND('Mapa final'!$AA$41="Alta",'Mapa final'!$AC$41="Catastrófico"),CONCATENATE("R8C",'Mapa final'!$Q$41),"")</f>
        <v/>
      </c>
      <c r="AI23" s="56" t="str">
        <f>IF(AND('Mapa final'!$AA$42="Alta",'Mapa final'!$AC$42="Catastrófico"),CONCATENATE("R8C",'Mapa final'!$Q$42),"")</f>
        <v/>
      </c>
      <c r="AJ23" s="56" t="str">
        <f>IF(AND('Mapa final'!$AA$43="Alta",'Mapa final'!$AC$43="Catastrófico"),CONCATENATE("R8C",'Mapa final'!$Q$43),"")</f>
        <v/>
      </c>
      <c r="AK23" s="56" t="str">
        <f>IF(AND('Mapa final'!$AA$44="Alta",'Mapa final'!$AC$44="Catastrófico"),CONCATENATE("R8C",'Mapa final'!$Q$44),"")</f>
        <v/>
      </c>
      <c r="AL23" s="56" t="str">
        <f>IF(AND('Mapa final'!$AA$45="Alta",'Mapa final'!$AC$45="Catastrófico"),CONCATENATE("R8C",'Mapa final'!$Q$45),"")</f>
        <v/>
      </c>
      <c r="AM23" s="57" t="str">
        <f>IF(AND('Mapa final'!$AA$46="Alta",'Mapa final'!$AC$46="Catastrófico"),CONCATENATE("R8C",'Mapa final'!$Q$46),"")</f>
        <v/>
      </c>
      <c r="AN23" s="83"/>
      <c r="AO23" s="355"/>
      <c r="AP23" s="356"/>
      <c r="AQ23" s="356"/>
      <c r="AR23" s="356"/>
      <c r="AS23" s="356"/>
      <c r="AT23" s="35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35">
      <c r="A24" s="83"/>
      <c r="B24" s="304"/>
      <c r="C24" s="304"/>
      <c r="D24" s="305"/>
      <c r="E24" s="345"/>
      <c r="F24" s="346"/>
      <c r="G24" s="346"/>
      <c r="H24" s="346"/>
      <c r="I24" s="346"/>
      <c r="J24" s="67" t="str">
        <f>IF(AND('Mapa final'!$AA$47="Alta",'Mapa final'!$AC$47="Leve"),CONCATENATE("R9C",'Mapa final'!$Q$47),"")</f>
        <v/>
      </c>
      <c r="K24" s="68" t="str">
        <f>IF(AND('Mapa final'!$AA$48="Alta",'Mapa final'!$AC$48="Leve"),CONCATENATE("R9C",'Mapa final'!$Q$48),"")</f>
        <v/>
      </c>
      <c r="L24" s="68" t="str">
        <f>IF(AND('Mapa final'!$AA$49="Alta",'Mapa final'!$AC$49="Leve"),CONCATENATE("R9C",'Mapa final'!$Q$49),"")</f>
        <v/>
      </c>
      <c r="M24" s="68" t="str">
        <f>IF(AND('Mapa final'!$AA$50="Alta",'Mapa final'!$AC$50="Leve"),CONCATENATE("R9C",'Mapa final'!$Q$50),"")</f>
        <v/>
      </c>
      <c r="N24" s="68" t="str">
        <f>IF(AND('Mapa final'!$AA$51="Alta",'Mapa final'!$AC$51="Leve"),CONCATENATE("R9C",'Mapa final'!$Q$51),"")</f>
        <v/>
      </c>
      <c r="O24" s="69" t="str">
        <f>IF(AND('Mapa final'!$AA$52="Alta",'Mapa final'!$AC$52="Leve"),CONCATENATE("R9C",'Mapa final'!$Q$52),"")</f>
        <v/>
      </c>
      <c r="P24" s="67" t="str">
        <f>IF(AND('Mapa final'!$AA$47="Alta",'Mapa final'!$AC$47="Menor"),CONCATENATE("R9C",'Mapa final'!$Q$47),"")</f>
        <v/>
      </c>
      <c r="Q24" s="68" t="str">
        <f>IF(AND('Mapa final'!$AA$48="Alta",'Mapa final'!$AC$48="Menor"),CONCATENATE("R9C",'Mapa final'!$Q$48),"")</f>
        <v/>
      </c>
      <c r="R24" s="68" t="str">
        <f>IF(AND('Mapa final'!$AA$49="Alta",'Mapa final'!$AC$49="Menor"),CONCATENATE("R9C",'Mapa final'!$Q$49),"")</f>
        <v/>
      </c>
      <c r="S24" s="68" t="str">
        <f>IF(AND('Mapa final'!$AA$50="Alta",'Mapa final'!$AC$50="Menor"),CONCATENATE("R9C",'Mapa final'!$Q$50),"")</f>
        <v/>
      </c>
      <c r="T24" s="68" t="str">
        <f>IF(AND('Mapa final'!$AA$51="Alta",'Mapa final'!$AC$51="Menor"),CONCATENATE("R9C",'Mapa final'!$Q$51),"")</f>
        <v/>
      </c>
      <c r="U24" s="69" t="str">
        <f>IF(AND('Mapa final'!$AA$52="Alta",'Mapa final'!$AC$52="Menor"),CONCATENATE("R9C",'Mapa final'!$Q$52),"")</f>
        <v/>
      </c>
      <c r="V24" s="52" t="str">
        <f>IF(AND('Mapa final'!$AA$47="Alta",'Mapa final'!$AC$47="Moderado"),CONCATENATE("R9C",'Mapa final'!$Q$47),"")</f>
        <v/>
      </c>
      <c r="W24" s="53" t="str">
        <f>IF(AND('Mapa final'!$AA$48="Alta",'Mapa final'!$AC$48="Moderado"),CONCATENATE("R9C",'Mapa final'!$Q$48),"")</f>
        <v/>
      </c>
      <c r="X24" s="53" t="str">
        <f>IF(AND('Mapa final'!$AA$49="Alta",'Mapa final'!$AC$49="Moderado"),CONCATENATE("R9C",'Mapa final'!$Q$49),"")</f>
        <v/>
      </c>
      <c r="Y24" s="53" t="str">
        <f>IF(AND('Mapa final'!$AA$50="Alta",'Mapa final'!$AC$50="Moderado"),CONCATENATE("R9C",'Mapa final'!$Q$50),"")</f>
        <v/>
      </c>
      <c r="Z24" s="53" t="str">
        <f>IF(AND('Mapa final'!$AA$51="Alta",'Mapa final'!$AC$51="Moderado"),CONCATENATE("R9C",'Mapa final'!$Q$51),"")</f>
        <v/>
      </c>
      <c r="AA24" s="54" t="str">
        <f>IF(AND('Mapa final'!$AA$52="Alta",'Mapa final'!$AC$52="Moderado"),CONCATENATE("R9C",'Mapa final'!$Q$52),"")</f>
        <v/>
      </c>
      <c r="AB24" s="52" t="str">
        <f>IF(AND('Mapa final'!$AA$47="Alta",'Mapa final'!$AC$47="Mayor"),CONCATENATE("R9C",'Mapa final'!$Q$47),"")</f>
        <v/>
      </c>
      <c r="AC24" s="53" t="str">
        <f>IF(AND('Mapa final'!$AA$48="Alta",'Mapa final'!$AC$48="Mayor"),CONCATENATE("R9C",'Mapa final'!$Q$48),"")</f>
        <v/>
      </c>
      <c r="AD24" s="53" t="str">
        <f>IF(AND('Mapa final'!$AA$49="Alta",'Mapa final'!$AC$49="Mayor"),CONCATENATE("R9C",'Mapa final'!$Q$49),"")</f>
        <v/>
      </c>
      <c r="AE24" s="53" t="str">
        <f>IF(AND('Mapa final'!$AA$50="Alta",'Mapa final'!$AC$50="Mayor"),CONCATENATE("R9C",'Mapa final'!$Q$50),"")</f>
        <v/>
      </c>
      <c r="AF24" s="53" t="str">
        <f>IF(AND('Mapa final'!$AA$51="Alta",'Mapa final'!$AC$51="Mayor"),CONCATENATE("R9C",'Mapa final'!$Q$51),"")</f>
        <v/>
      </c>
      <c r="AG24" s="54" t="str">
        <f>IF(AND('Mapa final'!$AA$52="Alta",'Mapa final'!$AC$52="Mayor"),CONCATENATE("R9C",'Mapa final'!$Q$52),"")</f>
        <v/>
      </c>
      <c r="AH24" s="55" t="str">
        <f>IF(AND('Mapa final'!$AA$47="Alta",'Mapa final'!$AC$47="Catastrófico"),CONCATENATE("R9C",'Mapa final'!$Q$47),"")</f>
        <v/>
      </c>
      <c r="AI24" s="56" t="str">
        <f>IF(AND('Mapa final'!$AA$48="Alta",'Mapa final'!$AC$48="Catastrófico"),CONCATENATE("R9C",'Mapa final'!$Q$48),"")</f>
        <v/>
      </c>
      <c r="AJ24" s="56" t="str">
        <f>IF(AND('Mapa final'!$AA$49="Alta",'Mapa final'!$AC$49="Catastrófico"),CONCATENATE("R9C",'Mapa final'!$Q$49),"")</f>
        <v/>
      </c>
      <c r="AK24" s="56" t="str">
        <f>IF(AND('Mapa final'!$AA$50="Alta",'Mapa final'!$AC$50="Catastrófico"),CONCATENATE("R9C",'Mapa final'!$Q$50),"")</f>
        <v/>
      </c>
      <c r="AL24" s="56" t="str">
        <f>IF(AND('Mapa final'!$AA$51="Alta",'Mapa final'!$AC$51="Catastrófico"),CONCATENATE("R9C",'Mapa final'!$Q$51),"")</f>
        <v/>
      </c>
      <c r="AM24" s="57" t="str">
        <f>IF(AND('Mapa final'!$AA$52="Alta",'Mapa final'!$AC$52="Catastrófico"),CONCATENATE("R9C",'Mapa final'!$Q$52),"")</f>
        <v/>
      </c>
      <c r="AN24" s="83"/>
      <c r="AO24" s="355"/>
      <c r="AP24" s="356"/>
      <c r="AQ24" s="356"/>
      <c r="AR24" s="356"/>
      <c r="AS24" s="356"/>
      <c r="AT24" s="35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4">
      <c r="A25" s="83"/>
      <c r="B25" s="304"/>
      <c r="C25" s="304"/>
      <c r="D25" s="305"/>
      <c r="E25" s="348"/>
      <c r="F25" s="349"/>
      <c r="G25" s="349"/>
      <c r="H25" s="349"/>
      <c r="I25" s="349"/>
      <c r="J25" s="70" t="str">
        <f>IF(AND('Mapa final'!$AA$53="Alta",'Mapa final'!$AC$53="Leve"),CONCATENATE("R10C",'Mapa final'!$Q$53),"")</f>
        <v/>
      </c>
      <c r="K25" s="71" t="str">
        <f>IF(AND('Mapa final'!$AA$54="Alta",'Mapa final'!$AC$54="Leve"),CONCATENATE("R10C",'Mapa final'!$Q$54),"")</f>
        <v/>
      </c>
      <c r="L25" s="71" t="str">
        <f>IF(AND('Mapa final'!$AA$55="Alta",'Mapa final'!$AC$55="Leve"),CONCATENATE("R10C",'Mapa final'!$Q$55),"")</f>
        <v/>
      </c>
      <c r="M25" s="71" t="str">
        <f>IF(AND('Mapa final'!$AA$56="Alta",'Mapa final'!$AC$56="Leve"),CONCATENATE("R10C",'Mapa final'!$Q$56),"")</f>
        <v/>
      </c>
      <c r="N25" s="71" t="str">
        <f>IF(AND('Mapa final'!$AA$57="Alta",'Mapa final'!$AC$57="Leve"),CONCATENATE("R10C",'Mapa final'!$Q$57),"")</f>
        <v/>
      </c>
      <c r="O25" s="72" t="str">
        <f>IF(AND('Mapa final'!$AA$58="Alta",'Mapa final'!$AC$58="Leve"),CONCATENATE("R10C",'Mapa final'!$Q$58),"")</f>
        <v/>
      </c>
      <c r="P25" s="70" t="str">
        <f>IF(AND('Mapa final'!$AA$53="Alta",'Mapa final'!$AC$53="Menor"),CONCATENATE("R10C",'Mapa final'!$Q$53),"")</f>
        <v/>
      </c>
      <c r="Q25" s="71" t="str">
        <f>IF(AND('Mapa final'!$AA$54="Alta",'Mapa final'!$AC$54="Menor"),CONCATENATE("R10C",'Mapa final'!$Q$54),"")</f>
        <v/>
      </c>
      <c r="R25" s="71" t="str">
        <f>IF(AND('Mapa final'!$AA$55="Alta",'Mapa final'!$AC$55="Menor"),CONCATENATE("R10C",'Mapa final'!$Q$55),"")</f>
        <v/>
      </c>
      <c r="S25" s="71" t="str">
        <f>IF(AND('Mapa final'!$AA$56="Alta",'Mapa final'!$AC$56="Menor"),CONCATENATE("R10C",'Mapa final'!$Q$56),"")</f>
        <v/>
      </c>
      <c r="T25" s="71" t="str">
        <f>IF(AND('Mapa final'!$AA$57="Alta",'Mapa final'!$AC$57="Menor"),CONCATENATE("R10C",'Mapa final'!$Q$57),"")</f>
        <v/>
      </c>
      <c r="U25" s="72" t="str">
        <f>IF(AND('Mapa final'!$AA$58="Alta",'Mapa final'!$AC$58="Menor"),CONCATENATE("R10C",'Mapa final'!$Q$58),"")</f>
        <v/>
      </c>
      <c r="V25" s="58" t="str">
        <f>IF(AND('Mapa final'!$AA$53="Alta",'Mapa final'!$AC$53="Moderado"),CONCATENATE("R10C",'Mapa final'!$Q$53),"")</f>
        <v/>
      </c>
      <c r="W25" s="59" t="str">
        <f>IF(AND('Mapa final'!$AA$54="Alta",'Mapa final'!$AC$54="Moderado"),CONCATENATE("R10C",'Mapa final'!$Q$54),"")</f>
        <v/>
      </c>
      <c r="X25" s="59" t="str">
        <f>IF(AND('Mapa final'!$AA$55="Alta",'Mapa final'!$AC$55="Moderado"),CONCATENATE("R10C",'Mapa final'!$Q$55),"")</f>
        <v/>
      </c>
      <c r="Y25" s="59" t="str">
        <f>IF(AND('Mapa final'!$AA$56="Alta",'Mapa final'!$AC$56="Moderado"),CONCATENATE("R10C",'Mapa final'!$Q$56),"")</f>
        <v/>
      </c>
      <c r="Z25" s="59" t="str">
        <f>IF(AND('Mapa final'!$AA$57="Alta",'Mapa final'!$AC$57="Moderado"),CONCATENATE("R10C",'Mapa final'!$Q$57),"")</f>
        <v/>
      </c>
      <c r="AA25" s="60" t="str">
        <f>IF(AND('Mapa final'!$AA$58="Alta",'Mapa final'!$AC$58="Moderado"),CONCATENATE("R10C",'Mapa final'!$Q$58),"")</f>
        <v/>
      </c>
      <c r="AB25" s="58" t="str">
        <f>IF(AND('Mapa final'!$AA$53="Alta",'Mapa final'!$AC$53="Mayor"),CONCATENATE("R10C",'Mapa final'!$Q$53),"")</f>
        <v/>
      </c>
      <c r="AC25" s="59" t="str">
        <f>IF(AND('Mapa final'!$AA$54="Alta",'Mapa final'!$AC$54="Mayor"),CONCATENATE("R10C",'Mapa final'!$Q$54),"")</f>
        <v/>
      </c>
      <c r="AD25" s="59" t="str">
        <f>IF(AND('Mapa final'!$AA$55="Alta",'Mapa final'!$AC$55="Mayor"),CONCATENATE("R10C",'Mapa final'!$Q$55),"")</f>
        <v/>
      </c>
      <c r="AE25" s="59" t="str">
        <f>IF(AND('Mapa final'!$AA$56="Alta",'Mapa final'!$AC$56="Mayor"),CONCATENATE("R10C",'Mapa final'!$Q$56),"")</f>
        <v/>
      </c>
      <c r="AF25" s="59" t="str">
        <f>IF(AND('Mapa final'!$AA$57="Alta",'Mapa final'!$AC$57="Mayor"),CONCATENATE("R10C",'Mapa final'!$Q$57),"")</f>
        <v/>
      </c>
      <c r="AG25" s="60" t="str">
        <f>IF(AND('Mapa final'!$AA$58="Alta",'Mapa final'!$AC$58="Mayor"),CONCATENATE("R10C",'Mapa final'!$Q$58),"")</f>
        <v/>
      </c>
      <c r="AH25" s="61" t="str">
        <f>IF(AND('Mapa final'!$AA$53="Alta",'Mapa final'!$AC$53="Catastrófico"),CONCATENATE("R10C",'Mapa final'!$Q$53),"")</f>
        <v/>
      </c>
      <c r="AI25" s="62" t="str">
        <f>IF(AND('Mapa final'!$AA$54="Alta",'Mapa final'!$AC$54="Catastrófico"),CONCATENATE("R10C",'Mapa final'!$Q$54),"")</f>
        <v/>
      </c>
      <c r="AJ25" s="62" t="str">
        <f>IF(AND('Mapa final'!$AA$55="Alta",'Mapa final'!$AC$55="Catastrófico"),CONCATENATE("R10C",'Mapa final'!$Q$55),"")</f>
        <v/>
      </c>
      <c r="AK25" s="62" t="str">
        <f>IF(AND('Mapa final'!$AA$56="Alta",'Mapa final'!$AC$56="Catastrófico"),CONCATENATE("R10C",'Mapa final'!$Q$56),"")</f>
        <v/>
      </c>
      <c r="AL25" s="62" t="str">
        <f>IF(AND('Mapa final'!$AA$57="Alta",'Mapa final'!$AC$57="Catastrófico"),CONCATENATE("R10C",'Mapa final'!$Q$57),"")</f>
        <v/>
      </c>
      <c r="AM25" s="63" t="str">
        <f>IF(AND('Mapa final'!$AA$58="Alta",'Mapa final'!$AC$58="Catastrófico"),CONCATENATE("R10C",'Mapa final'!$Q$58),"")</f>
        <v/>
      </c>
      <c r="AN25" s="83"/>
      <c r="AO25" s="358"/>
      <c r="AP25" s="359"/>
      <c r="AQ25" s="359"/>
      <c r="AR25" s="359"/>
      <c r="AS25" s="359"/>
      <c r="AT25" s="36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35">
      <c r="A26" s="83"/>
      <c r="B26" s="304"/>
      <c r="C26" s="304"/>
      <c r="D26" s="305"/>
      <c r="E26" s="342" t="s">
        <v>109</v>
      </c>
      <c r="F26" s="343"/>
      <c r="G26" s="343"/>
      <c r="H26" s="343"/>
      <c r="I26" s="344"/>
      <c r="J26" s="64" t="str">
        <f ca="1">IF(AND('Mapa final'!$AA$11="Media",'Mapa final'!$AC$11="Leve"),CONCATENATE("R1C",'Mapa final'!$Q$11),"")</f>
        <v/>
      </c>
      <c r="K26" s="65" t="str">
        <f>IF(AND('Mapa final'!$AA$12="Media",'Mapa final'!$AC$12="Leve"),CONCATENATE("R1C",'Mapa final'!$Q$12),"")</f>
        <v/>
      </c>
      <c r="L26" s="65" t="str">
        <f>IF(AND('Mapa final'!$AA$13="Media",'Mapa final'!$AC$13="Leve"),CONCATENATE("R1C",'Mapa final'!$Q$13),"")</f>
        <v/>
      </c>
      <c r="M26" s="65" t="str">
        <f>IF(AND('Mapa final'!$AA$14="Media",'Mapa final'!$AC$14="Leve"),CONCATENATE("R1C",'Mapa final'!$Q$14),"")</f>
        <v/>
      </c>
      <c r="N26" s="65" t="str">
        <f>IF(AND('Mapa final'!$AA$15="Media",'Mapa final'!$AC$15="Leve"),CONCATENATE("R1C",'Mapa final'!$Q$15),"")</f>
        <v/>
      </c>
      <c r="O26" s="66" t="str">
        <f>IF(AND('Mapa final'!$AA$16="Media",'Mapa final'!$AC$16="Leve"),CONCATENATE("R1C",'Mapa final'!$Q$16),"")</f>
        <v/>
      </c>
      <c r="P26" s="64" t="str">
        <f ca="1">IF(AND('Mapa final'!$AA$11="Media",'Mapa final'!$AC$11="Menor"),CONCATENATE("R1C",'Mapa final'!$Q$11),"")</f>
        <v/>
      </c>
      <c r="Q26" s="65" t="str">
        <f>IF(AND('Mapa final'!$AA$12="Media",'Mapa final'!$AC$12="Menor"),CONCATENATE("R1C",'Mapa final'!$Q$12),"")</f>
        <v/>
      </c>
      <c r="R26" s="65" t="str">
        <f>IF(AND('Mapa final'!$AA$13="Media",'Mapa final'!$AC$13="Menor"),CONCATENATE("R1C",'Mapa final'!$Q$13),"")</f>
        <v/>
      </c>
      <c r="S26" s="65" t="str">
        <f>IF(AND('Mapa final'!$AA$14="Media",'Mapa final'!$AC$14="Menor"),CONCATENATE("R1C",'Mapa final'!$Q$14),"")</f>
        <v/>
      </c>
      <c r="T26" s="65" t="str">
        <f>IF(AND('Mapa final'!$AA$15="Media",'Mapa final'!$AC$15="Menor"),CONCATENATE("R1C",'Mapa final'!$Q$15),"")</f>
        <v/>
      </c>
      <c r="U26" s="66" t="str">
        <f>IF(AND('Mapa final'!$AA$16="Media",'Mapa final'!$AC$16="Menor"),CONCATENATE("R1C",'Mapa final'!$Q$16),"")</f>
        <v/>
      </c>
      <c r="V26" s="64" t="str">
        <f ca="1">IF(AND('Mapa final'!$AA$11="Media",'Mapa final'!$AC$11="Moderado"),CONCATENATE("R1C",'Mapa final'!$Q$11),"")</f>
        <v/>
      </c>
      <c r="W26" s="65" t="str">
        <f>IF(AND('Mapa final'!$AA$12="Media",'Mapa final'!$AC$12="Moderado"),CONCATENATE("R1C",'Mapa final'!$Q$12),"")</f>
        <v/>
      </c>
      <c r="X26" s="65" t="str">
        <f>IF(AND('Mapa final'!$AA$13="Media",'Mapa final'!$AC$13="Moderado"),CONCATENATE("R1C",'Mapa final'!$Q$13),"")</f>
        <v/>
      </c>
      <c r="Y26" s="65" t="str">
        <f>IF(AND('Mapa final'!$AA$14="Media",'Mapa final'!$AC$14="Moderado"),CONCATENATE("R1C",'Mapa final'!$Q$14),"")</f>
        <v/>
      </c>
      <c r="Z26" s="65" t="str">
        <f>IF(AND('Mapa final'!$AA$15="Media",'Mapa final'!$AC$15="Moderado"),CONCATENATE("R1C",'Mapa final'!$Q$15),"")</f>
        <v/>
      </c>
      <c r="AA26" s="66" t="str">
        <f>IF(AND('Mapa final'!$AA$16="Media",'Mapa final'!$AC$16="Moderado"),CONCATENATE("R1C",'Mapa final'!$Q$16),"")</f>
        <v/>
      </c>
      <c r="AB26" s="46" t="str">
        <f ca="1">IF(AND('Mapa final'!$AA$11="Media",'Mapa final'!$AC$11="Mayor"),CONCATENATE("R1C",'Mapa final'!$Q$11),"")</f>
        <v/>
      </c>
      <c r="AC26" s="47" t="str">
        <f>IF(AND('Mapa final'!$AA$12="Media",'Mapa final'!$AC$12="Mayor"),CONCATENATE("R1C",'Mapa final'!$Q$12),"")</f>
        <v/>
      </c>
      <c r="AD26" s="47" t="str">
        <f>IF(AND('Mapa final'!$AA$13="Media",'Mapa final'!$AC$13="Mayor"),CONCATENATE("R1C",'Mapa final'!$Q$13),"")</f>
        <v/>
      </c>
      <c r="AE26" s="47" t="str">
        <f>IF(AND('Mapa final'!$AA$14="Media",'Mapa final'!$AC$14="Mayor"),CONCATENATE("R1C",'Mapa final'!$Q$14),"")</f>
        <v/>
      </c>
      <c r="AF26" s="47" t="str">
        <f>IF(AND('Mapa final'!$AA$15="Media",'Mapa final'!$AC$15="Mayor"),CONCATENATE("R1C",'Mapa final'!$Q$15),"")</f>
        <v/>
      </c>
      <c r="AG26" s="48" t="str">
        <f>IF(AND('Mapa final'!$AA$16="Media",'Mapa final'!$AC$16="Mayor"),CONCATENATE("R1C",'Mapa final'!$Q$16),"")</f>
        <v/>
      </c>
      <c r="AH26" s="49" t="str">
        <f ca="1">IF(AND('Mapa final'!$AA$11="Media",'Mapa final'!$AC$11="Catastrófico"),CONCATENATE("R1C",'Mapa final'!$Q$11),"")</f>
        <v/>
      </c>
      <c r="AI26" s="50" t="str">
        <f>IF(AND('Mapa final'!$AA$12="Media",'Mapa final'!$AC$12="Catastrófico"),CONCATENATE("R1C",'Mapa final'!$Q$12),"")</f>
        <v/>
      </c>
      <c r="AJ26" s="50" t="str">
        <f>IF(AND('Mapa final'!$AA$13="Media",'Mapa final'!$AC$13="Catastrófico"),CONCATENATE("R1C",'Mapa final'!$Q$13),"")</f>
        <v/>
      </c>
      <c r="AK26" s="50" t="str">
        <f>IF(AND('Mapa final'!$AA$14="Media",'Mapa final'!$AC$14="Catastrófico"),CONCATENATE("R1C",'Mapa final'!$Q$14),"")</f>
        <v/>
      </c>
      <c r="AL26" s="50" t="str">
        <f>IF(AND('Mapa final'!$AA$15="Media",'Mapa final'!$AC$15="Catastrófico"),CONCATENATE("R1C",'Mapa final'!$Q$15),"")</f>
        <v/>
      </c>
      <c r="AM26" s="51" t="str">
        <f>IF(AND('Mapa final'!$AA$16="Media",'Mapa final'!$AC$16="Catastrófico"),CONCATENATE("R1C",'Mapa final'!$Q$16),"")</f>
        <v/>
      </c>
      <c r="AN26" s="83"/>
      <c r="AO26" s="382" t="s">
        <v>78</v>
      </c>
      <c r="AP26" s="383"/>
      <c r="AQ26" s="383"/>
      <c r="AR26" s="383"/>
      <c r="AS26" s="383"/>
      <c r="AT26" s="38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35">
      <c r="A27" s="83"/>
      <c r="B27" s="304"/>
      <c r="C27" s="304"/>
      <c r="D27" s="305"/>
      <c r="E27" s="361"/>
      <c r="F27" s="346"/>
      <c r="G27" s="346"/>
      <c r="H27" s="346"/>
      <c r="I27" s="347"/>
      <c r="J27" s="67" t="e">
        <f>IF(AND('Mapa final'!#REF!="Media",'Mapa final'!#REF!="Leve"),CONCATENATE("R2C",'Mapa final'!#REF!),"")</f>
        <v>#REF!</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e">
        <f>IF(AND('Mapa final'!#REF!="Media",'Mapa final'!#REF!="Menor"),CONCATENATE("R2C",'Mapa final'!#REF!),"")</f>
        <v>#REF!</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e">
        <f>IF(AND('Mapa final'!#REF!="Media",'Mapa final'!#REF!="Moderado"),CONCATENATE("R2C",'Mapa final'!#REF!),"")</f>
        <v>#REF!</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85"/>
      <c r="AP27" s="386"/>
      <c r="AQ27" s="386"/>
      <c r="AR27" s="386"/>
      <c r="AS27" s="386"/>
      <c r="AT27" s="38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35">
      <c r="A28" s="83"/>
      <c r="B28" s="304"/>
      <c r="C28" s="304"/>
      <c r="D28" s="305"/>
      <c r="E28" s="345"/>
      <c r="F28" s="346"/>
      <c r="G28" s="346"/>
      <c r="H28" s="346"/>
      <c r="I28" s="347"/>
      <c r="J28" s="67" t="e">
        <f>IF(AND('Mapa final'!#REF!="Media",'Mapa final'!#REF!="Leve"),CONCATENATE("R3C",'Mapa final'!#REF!),"")</f>
        <v>#REF!</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e">
        <f>IF(AND('Mapa final'!#REF!="Media",'Mapa final'!#REF!="Menor"),CONCATENATE("R3C",'Mapa final'!#REF!),"")</f>
        <v>#REF!</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e">
        <f>IF(AND('Mapa final'!#REF!="Media",'Mapa final'!#REF!="Moderado"),CONCATENATE("R3C",'Mapa final'!#REF!),"")</f>
        <v>#REF!</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e">
        <f>IF(AND('Mapa final'!#REF!="Media",'Mapa final'!#REF!="Mayor"),CONCATENATE("R3C",'Mapa final'!#REF!),"")</f>
        <v>#REF!</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e">
        <f>IF(AND('Mapa final'!#REF!="Media",'Mapa final'!#REF!="Catastrófico"),CONCATENATE("R3C",'Mapa final'!#REF!),"")</f>
        <v>#REF!</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85"/>
      <c r="AP28" s="386"/>
      <c r="AQ28" s="386"/>
      <c r="AR28" s="386"/>
      <c r="AS28" s="386"/>
      <c r="AT28" s="38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35">
      <c r="A29" s="83"/>
      <c r="B29" s="304"/>
      <c r="C29" s="304"/>
      <c r="D29" s="305"/>
      <c r="E29" s="345"/>
      <c r="F29" s="346"/>
      <c r="G29" s="346"/>
      <c r="H29" s="346"/>
      <c r="I29" s="347"/>
      <c r="J29" s="67" t="str">
        <f ca="1">IF(AND('Mapa final'!$AA$17="Media",'Mapa final'!$AC$17="Leve"),CONCATENATE("R4C",'Mapa final'!$Q$17),"")</f>
        <v/>
      </c>
      <c r="K29" s="68" t="str">
        <f>IF(AND('Mapa final'!$AA$18="Media",'Mapa final'!$AC$18="Leve"),CONCATENATE("R4C",'Mapa final'!$Q$18),"")</f>
        <v/>
      </c>
      <c r="L29" s="68" t="str">
        <f>IF(AND('Mapa final'!$AA$19="Media",'Mapa final'!$AC$19="Leve"),CONCATENATE("R4C",'Mapa final'!$Q$19),"")</f>
        <v/>
      </c>
      <c r="M29" s="68" t="str">
        <f>IF(AND('Mapa final'!$AA$20="Media",'Mapa final'!$AC$20="Leve"),CONCATENATE("R4C",'Mapa final'!$Q$20),"")</f>
        <v/>
      </c>
      <c r="N29" s="68" t="str">
        <f>IF(AND('Mapa final'!$AA$21="Media",'Mapa final'!$AC$21="Leve"),CONCATENATE("R4C",'Mapa final'!$Q$21),"")</f>
        <v/>
      </c>
      <c r="O29" s="69" t="str">
        <f>IF(AND('Mapa final'!$AA$22="Media",'Mapa final'!$AC$22="Leve"),CONCATENATE("R4C",'Mapa final'!$Q$22),"")</f>
        <v/>
      </c>
      <c r="P29" s="67" t="str">
        <f ca="1">IF(AND('Mapa final'!$AA$17="Media",'Mapa final'!$AC$17="Menor"),CONCATENATE("R4C",'Mapa final'!$Q$17),"")</f>
        <v/>
      </c>
      <c r="Q29" s="68" t="str">
        <f>IF(AND('Mapa final'!$AA$18="Media",'Mapa final'!$AC$18="Menor"),CONCATENATE("R4C",'Mapa final'!$Q$18),"")</f>
        <v/>
      </c>
      <c r="R29" s="68" t="str">
        <f>IF(AND('Mapa final'!$AA$19="Media",'Mapa final'!$AC$19="Menor"),CONCATENATE("R4C",'Mapa final'!$Q$19),"")</f>
        <v/>
      </c>
      <c r="S29" s="68" t="str">
        <f>IF(AND('Mapa final'!$AA$20="Media",'Mapa final'!$AC$20="Menor"),CONCATENATE("R4C",'Mapa final'!$Q$20),"")</f>
        <v/>
      </c>
      <c r="T29" s="68" t="str">
        <f>IF(AND('Mapa final'!$AA$21="Media",'Mapa final'!$AC$21="Menor"),CONCATENATE("R4C",'Mapa final'!$Q$21),"")</f>
        <v/>
      </c>
      <c r="U29" s="69" t="str">
        <f>IF(AND('Mapa final'!$AA$22="Media",'Mapa final'!$AC$22="Menor"),CONCATENATE("R4C",'Mapa final'!$Q$22),"")</f>
        <v/>
      </c>
      <c r="V29" s="67" t="str">
        <f ca="1">IF(AND('Mapa final'!$AA$17="Media",'Mapa final'!$AC$17="Moderado"),CONCATENATE("R4C",'Mapa final'!$Q$17),"")</f>
        <v/>
      </c>
      <c r="W29" s="68" t="str">
        <f>IF(AND('Mapa final'!$AA$18="Media",'Mapa final'!$AC$18="Moderado"),CONCATENATE("R4C",'Mapa final'!$Q$18),"")</f>
        <v/>
      </c>
      <c r="X29" s="68" t="str">
        <f>IF(AND('Mapa final'!$AA$19="Media",'Mapa final'!$AC$19="Moderado"),CONCATENATE("R4C",'Mapa final'!$Q$19),"")</f>
        <v/>
      </c>
      <c r="Y29" s="68" t="str">
        <f>IF(AND('Mapa final'!$AA$20="Media",'Mapa final'!$AC$20="Moderado"),CONCATENATE("R4C",'Mapa final'!$Q$20),"")</f>
        <v/>
      </c>
      <c r="Z29" s="68" t="str">
        <f>IF(AND('Mapa final'!$AA$21="Media",'Mapa final'!$AC$21="Moderado"),CONCATENATE("R4C",'Mapa final'!$Q$21),"")</f>
        <v/>
      </c>
      <c r="AA29" s="69" t="str">
        <f>IF(AND('Mapa final'!$AA$22="Media",'Mapa final'!$AC$22="Moderado"),CONCATENATE("R4C",'Mapa final'!$Q$22),"")</f>
        <v/>
      </c>
      <c r="AB29" s="52" t="str">
        <f ca="1">IF(AND('Mapa final'!$AA$17="Media",'Mapa final'!$AC$17="Mayor"),CONCATENATE("R4C",'Mapa final'!$Q$17),"")</f>
        <v/>
      </c>
      <c r="AC29" s="53" t="str">
        <f>IF(AND('Mapa final'!$AA$18="Media",'Mapa final'!$AC$18="Mayor"),CONCATENATE("R4C",'Mapa final'!$Q$18),"")</f>
        <v/>
      </c>
      <c r="AD29" s="53" t="str">
        <f>IF(AND('Mapa final'!$AA$19="Media",'Mapa final'!$AC$19="Mayor"),CONCATENATE("R4C",'Mapa final'!$Q$19),"")</f>
        <v/>
      </c>
      <c r="AE29" s="53" t="str">
        <f>IF(AND('Mapa final'!$AA$20="Media",'Mapa final'!$AC$20="Mayor"),CONCATENATE("R4C",'Mapa final'!$Q$20),"")</f>
        <v/>
      </c>
      <c r="AF29" s="53" t="str">
        <f>IF(AND('Mapa final'!$AA$21="Media",'Mapa final'!$AC$21="Mayor"),CONCATENATE("R4C",'Mapa final'!$Q$21),"")</f>
        <v/>
      </c>
      <c r="AG29" s="54" t="str">
        <f>IF(AND('Mapa final'!$AA$22="Media",'Mapa final'!$AC$22="Mayor"),CONCATENATE("R4C",'Mapa final'!$Q$22),"")</f>
        <v/>
      </c>
      <c r="AH29" s="55" t="str">
        <f ca="1">IF(AND('Mapa final'!$AA$17="Media",'Mapa final'!$AC$17="Catastrófico"),CONCATENATE("R4C",'Mapa final'!$Q$17),"")</f>
        <v/>
      </c>
      <c r="AI29" s="56" t="str">
        <f>IF(AND('Mapa final'!$AA$18="Media",'Mapa final'!$AC$18="Catastrófico"),CONCATENATE("R4C",'Mapa final'!$Q$18),"")</f>
        <v/>
      </c>
      <c r="AJ29" s="56" t="str">
        <f>IF(AND('Mapa final'!$AA$19="Media",'Mapa final'!$AC$19="Catastrófico"),CONCATENATE("R4C",'Mapa final'!$Q$19),"")</f>
        <v/>
      </c>
      <c r="AK29" s="56" t="str">
        <f>IF(AND('Mapa final'!$AA$20="Media",'Mapa final'!$AC$20="Catastrófico"),CONCATENATE("R4C",'Mapa final'!$Q$20),"")</f>
        <v/>
      </c>
      <c r="AL29" s="56" t="str">
        <f>IF(AND('Mapa final'!$AA$21="Media",'Mapa final'!$AC$21="Catastrófico"),CONCATENATE("R4C",'Mapa final'!$Q$21),"")</f>
        <v/>
      </c>
      <c r="AM29" s="57" t="str">
        <f>IF(AND('Mapa final'!$AA$22="Media",'Mapa final'!$AC$22="Catastrófico"),CONCATENATE("R4C",'Mapa final'!$Q$22),"")</f>
        <v/>
      </c>
      <c r="AN29" s="83"/>
      <c r="AO29" s="385"/>
      <c r="AP29" s="386"/>
      <c r="AQ29" s="386"/>
      <c r="AR29" s="386"/>
      <c r="AS29" s="386"/>
      <c r="AT29" s="38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35">
      <c r="A30" s="83"/>
      <c r="B30" s="304"/>
      <c r="C30" s="304"/>
      <c r="D30" s="305"/>
      <c r="E30" s="345"/>
      <c r="F30" s="346"/>
      <c r="G30" s="346"/>
      <c r="H30" s="346"/>
      <c r="I30" s="347"/>
      <c r="J30" s="67" t="str">
        <f ca="1">IF(AND('Mapa final'!$AA$23="Media",'Mapa final'!$AC$23="Leve"),CONCATENATE("R5C",'Mapa final'!$Q$23),"")</f>
        <v/>
      </c>
      <c r="K30" s="68" t="str">
        <f>IF(AND('Mapa final'!$AA$24="Media",'Mapa final'!$AC$24="Leve"),CONCATENATE("R5C",'Mapa final'!$Q$24),"")</f>
        <v/>
      </c>
      <c r="L30" s="68" t="str">
        <f>IF(AND('Mapa final'!$AA$25="Media",'Mapa final'!$AC$25="Leve"),CONCATENATE("R5C",'Mapa final'!$Q$25),"")</f>
        <v/>
      </c>
      <c r="M30" s="68" t="str">
        <f>IF(AND('Mapa final'!$AA$26="Media",'Mapa final'!$AC$26="Leve"),CONCATENATE("R5C",'Mapa final'!$Q$26),"")</f>
        <v/>
      </c>
      <c r="N30" s="68" t="str">
        <f>IF(AND('Mapa final'!$AA$27="Media",'Mapa final'!$AC$27="Leve"),CONCATENATE("R5C",'Mapa final'!$Q$27),"")</f>
        <v/>
      </c>
      <c r="O30" s="69" t="str">
        <f>IF(AND('Mapa final'!$AA$28="Media",'Mapa final'!$AC$28="Leve"),CONCATENATE("R5C",'Mapa final'!$Q$28),"")</f>
        <v/>
      </c>
      <c r="P30" s="67" t="str">
        <f ca="1">IF(AND('Mapa final'!$AA$23="Media",'Mapa final'!$AC$23="Menor"),CONCATENATE("R5C",'Mapa final'!$Q$23),"")</f>
        <v/>
      </c>
      <c r="Q30" s="68" t="str">
        <f>IF(AND('Mapa final'!$AA$24="Media",'Mapa final'!$AC$24="Menor"),CONCATENATE("R5C",'Mapa final'!$Q$24),"")</f>
        <v/>
      </c>
      <c r="R30" s="68" t="str">
        <f>IF(AND('Mapa final'!$AA$25="Media",'Mapa final'!$AC$25="Menor"),CONCATENATE("R5C",'Mapa final'!$Q$25),"")</f>
        <v/>
      </c>
      <c r="S30" s="68" t="str">
        <f>IF(AND('Mapa final'!$AA$26="Media",'Mapa final'!$AC$26="Menor"),CONCATENATE("R5C",'Mapa final'!$Q$26),"")</f>
        <v/>
      </c>
      <c r="T30" s="68" t="str">
        <f>IF(AND('Mapa final'!$AA$27="Media",'Mapa final'!$AC$27="Menor"),CONCATENATE("R5C",'Mapa final'!$Q$27),"")</f>
        <v/>
      </c>
      <c r="U30" s="69" t="str">
        <f>IF(AND('Mapa final'!$AA$28="Media",'Mapa final'!$AC$28="Menor"),CONCATENATE("R5C",'Mapa final'!$Q$28),"")</f>
        <v/>
      </c>
      <c r="V30" s="67" t="str">
        <f ca="1">IF(AND('Mapa final'!$AA$23="Media",'Mapa final'!$AC$23="Moderado"),CONCATENATE("R5C",'Mapa final'!$Q$23),"")</f>
        <v/>
      </c>
      <c r="W30" s="68" t="str">
        <f>IF(AND('Mapa final'!$AA$24="Media",'Mapa final'!$AC$24="Moderado"),CONCATENATE("R5C",'Mapa final'!$Q$24),"")</f>
        <v/>
      </c>
      <c r="X30" s="68" t="str">
        <f>IF(AND('Mapa final'!$AA$25="Media",'Mapa final'!$AC$25="Moderado"),CONCATENATE("R5C",'Mapa final'!$Q$25),"")</f>
        <v/>
      </c>
      <c r="Y30" s="68" t="str">
        <f>IF(AND('Mapa final'!$AA$26="Media",'Mapa final'!$AC$26="Moderado"),CONCATENATE("R5C",'Mapa final'!$Q$26),"")</f>
        <v/>
      </c>
      <c r="Z30" s="68" t="str">
        <f>IF(AND('Mapa final'!$AA$27="Media",'Mapa final'!$AC$27="Moderado"),CONCATENATE("R5C",'Mapa final'!$Q$27),"")</f>
        <v/>
      </c>
      <c r="AA30" s="69" t="str">
        <f>IF(AND('Mapa final'!$AA$28="Media",'Mapa final'!$AC$28="Moderado"),CONCATENATE("R5C",'Mapa final'!$Q$28),"")</f>
        <v/>
      </c>
      <c r="AB30" s="52" t="str">
        <f ca="1">IF(AND('Mapa final'!$AA$23="Media",'Mapa final'!$AC$23="Mayor"),CONCATENATE("R5C",'Mapa final'!$Q$23),"")</f>
        <v/>
      </c>
      <c r="AC30" s="53" t="str">
        <f>IF(AND('Mapa final'!$AA$24="Media",'Mapa final'!$AC$24="Mayor"),CONCATENATE("R5C",'Mapa final'!$Q$24),"")</f>
        <v/>
      </c>
      <c r="AD30" s="53" t="str">
        <f>IF(AND('Mapa final'!$AA$25="Media",'Mapa final'!$AC$25="Mayor"),CONCATENATE("R5C",'Mapa final'!$Q$25),"")</f>
        <v/>
      </c>
      <c r="AE30" s="53" t="str">
        <f>IF(AND('Mapa final'!$AA$26="Media",'Mapa final'!$AC$26="Mayor"),CONCATENATE("R5C",'Mapa final'!$Q$26),"")</f>
        <v/>
      </c>
      <c r="AF30" s="53" t="str">
        <f>IF(AND('Mapa final'!$AA$27="Media",'Mapa final'!$AC$27="Mayor"),CONCATENATE("R5C",'Mapa final'!$Q$27),"")</f>
        <v/>
      </c>
      <c r="AG30" s="54" t="str">
        <f>IF(AND('Mapa final'!$AA$28="Media",'Mapa final'!$AC$28="Mayor"),CONCATENATE("R5C",'Mapa final'!$Q$28),"")</f>
        <v/>
      </c>
      <c r="AH30" s="55" t="str">
        <f ca="1">IF(AND('Mapa final'!$AA$23="Media",'Mapa final'!$AC$23="Catastrófico"),CONCATENATE("R5C",'Mapa final'!$Q$23),"")</f>
        <v/>
      </c>
      <c r="AI30" s="56" t="str">
        <f>IF(AND('Mapa final'!$AA$24="Media",'Mapa final'!$AC$24="Catastrófico"),CONCATENATE("R5C",'Mapa final'!$Q$24),"")</f>
        <v/>
      </c>
      <c r="AJ30" s="56" t="str">
        <f>IF(AND('Mapa final'!$AA$25="Media",'Mapa final'!$AC$25="Catastrófico"),CONCATENATE("R5C",'Mapa final'!$Q$25),"")</f>
        <v/>
      </c>
      <c r="AK30" s="56" t="str">
        <f>IF(AND('Mapa final'!$AA$26="Media",'Mapa final'!$AC$26="Catastrófico"),CONCATENATE("R5C",'Mapa final'!$Q$26),"")</f>
        <v/>
      </c>
      <c r="AL30" s="56" t="str">
        <f>IF(AND('Mapa final'!$AA$27="Media",'Mapa final'!$AC$27="Catastrófico"),CONCATENATE("R5C",'Mapa final'!$Q$27),"")</f>
        <v/>
      </c>
      <c r="AM30" s="57" t="str">
        <f>IF(AND('Mapa final'!$AA$28="Media",'Mapa final'!$AC$28="Catastrófico"),CONCATENATE("R5C",'Mapa final'!$Q$28),"")</f>
        <v/>
      </c>
      <c r="AN30" s="83"/>
      <c r="AO30" s="385"/>
      <c r="AP30" s="386"/>
      <c r="AQ30" s="386"/>
      <c r="AR30" s="386"/>
      <c r="AS30" s="386"/>
      <c r="AT30" s="38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35">
      <c r="A31" s="83"/>
      <c r="B31" s="304"/>
      <c r="C31" s="304"/>
      <c r="D31" s="305"/>
      <c r="E31" s="345"/>
      <c r="F31" s="346"/>
      <c r="G31" s="346"/>
      <c r="H31" s="346"/>
      <c r="I31" s="347"/>
      <c r="J31" s="67" t="str">
        <f ca="1">IF(AND('Mapa final'!$AA$29="Media",'Mapa final'!$AC$29="Leve"),CONCATENATE("R6C",'Mapa final'!$Q$29),"")</f>
        <v/>
      </c>
      <c r="K31" s="68" t="str">
        <f>IF(AND('Mapa final'!$AA$30="Media",'Mapa final'!$AC$30="Leve"),CONCATENATE("R6C",'Mapa final'!$Q$30),"")</f>
        <v/>
      </c>
      <c r="L31" s="68" t="str">
        <f>IF(AND('Mapa final'!$AA$31="Media",'Mapa final'!$AC$31="Leve"),CONCATENATE("R6C",'Mapa final'!$Q$31),"")</f>
        <v/>
      </c>
      <c r="M31" s="68" t="str">
        <f>IF(AND('Mapa final'!$AA$32="Media",'Mapa final'!$AC$32="Leve"),CONCATENATE("R6C",'Mapa final'!$Q$32),"")</f>
        <v/>
      </c>
      <c r="N31" s="68" t="str">
        <f>IF(AND('Mapa final'!$AA$33="Media",'Mapa final'!$AC$33="Leve"),CONCATENATE("R6C",'Mapa final'!$Q$33),"")</f>
        <v/>
      </c>
      <c r="O31" s="69" t="str">
        <f>IF(AND('Mapa final'!$AA$34="Media",'Mapa final'!$AC$34="Leve"),CONCATENATE("R6C",'Mapa final'!$Q$34),"")</f>
        <v/>
      </c>
      <c r="P31" s="67" t="str">
        <f ca="1">IF(AND('Mapa final'!$AA$29="Media",'Mapa final'!$AC$29="Menor"),CONCATENATE("R6C",'Mapa final'!$Q$29),"")</f>
        <v/>
      </c>
      <c r="Q31" s="68" t="str">
        <f>IF(AND('Mapa final'!$AA$30="Media",'Mapa final'!$AC$30="Menor"),CONCATENATE("R6C",'Mapa final'!$Q$30),"")</f>
        <v/>
      </c>
      <c r="R31" s="68" t="str">
        <f>IF(AND('Mapa final'!$AA$31="Media",'Mapa final'!$AC$31="Menor"),CONCATENATE("R6C",'Mapa final'!$Q$31),"")</f>
        <v/>
      </c>
      <c r="S31" s="68" t="str">
        <f>IF(AND('Mapa final'!$AA$32="Media",'Mapa final'!$AC$32="Menor"),CONCATENATE("R6C",'Mapa final'!$Q$32),"")</f>
        <v/>
      </c>
      <c r="T31" s="68" t="str">
        <f>IF(AND('Mapa final'!$AA$33="Media",'Mapa final'!$AC$33="Menor"),CONCATENATE("R6C",'Mapa final'!$Q$33),"")</f>
        <v/>
      </c>
      <c r="U31" s="69" t="str">
        <f>IF(AND('Mapa final'!$AA$34="Media",'Mapa final'!$AC$34="Menor"),CONCATENATE("R6C",'Mapa final'!$Q$34),"")</f>
        <v/>
      </c>
      <c r="V31" s="67" t="str">
        <f ca="1">IF(AND('Mapa final'!$AA$29="Media",'Mapa final'!$AC$29="Moderado"),CONCATENATE("R6C",'Mapa final'!$Q$29),"")</f>
        <v/>
      </c>
      <c r="W31" s="68" t="str">
        <f>IF(AND('Mapa final'!$AA$30="Media",'Mapa final'!$AC$30="Moderado"),CONCATENATE("R6C",'Mapa final'!$Q$30),"")</f>
        <v/>
      </c>
      <c r="X31" s="68" t="str">
        <f>IF(AND('Mapa final'!$AA$31="Media",'Mapa final'!$AC$31="Moderado"),CONCATENATE("R6C",'Mapa final'!$Q$31),"")</f>
        <v/>
      </c>
      <c r="Y31" s="68" t="str">
        <f>IF(AND('Mapa final'!$AA$32="Media",'Mapa final'!$AC$32="Moderado"),CONCATENATE("R6C",'Mapa final'!$Q$32),"")</f>
        <v/>
      </c>
      <c r="Z31" s="68" t="str">
        <f>IF(AND('Mapa final'!$AA$33="Media",'Mapa final'!$AC$33="Moderado"),CONCATENATE("R6C",'Mapa final'!$Q$33),"")</f>
        <v/>
      </c>
      <c r="AA31" s="69" t="str">
        <f>IF(AND('Mapa final'!$AA$34="Media",'Mapa final'!$AC$34="Moderado"),CONCATENATE("R6C",'Mapa final'!$Q$34),"")</f>
        <v/>
      </c>
      <c r="AB31" s="52" t="str">
        <f ca="1">IF(AND('Mapa final'!$AA$29="Media",'Mapa final'!$AC$29="Mayor"),CONCATENATE("R6C",'Mapa final'!$Q$29),"")</f>
        <v/>
      </c>
      <c r="AC31" s="53" t="str">
        <f>IF(AND('Mapa final'!$AA$30="Media",'Mapa final'!$AC$30="Mayor"),CONCATENATE("R6C",'Mapa final'!$Q$30),"")</f>
        <v/>
      </c>
      <c r="AD31" s="53" t="str">
        <f>IF(AND('Mapa final'!$AA$31="Media",'Mapa final'!$AC$31="Mayor"),CONCATENATE("R6C",'Mapa final'!$Q$31),"")</f>
        <v/>
      </c>
      <c r="AE31" s="53" t="str">
        <f>IF(AND('Mapa final'!$AA$32="Media",'Mapa final'!$AC$32="Mayor"),CONCATENATE("R6C",'Mapa final'!$Q$32),"")</f>
        <v/>
      </c>
      <c r="AF31" s="53" t="str">
        <f>IF(AND('Mapa final'!$AA$33="Media",'Mapa final'!$AC$33="Mayor"),CONCATENATE("R6C",'Mapa final'!$Q$33),"")</f>
        <v/>
      </c>
      <c r="AG31" s="54" t="str">
        <f>IF(AND('Mapa final'!$AA$34="Media",'Mapa final'!$AC$34="Mayor"),CONCATENATE("R6C",'Mapa final'!$Q$34),"")</f>
        <v/>
      </c>
      <c r="AH31" s="55" t="str">
        <f ca="1">IF(AND('Mapa final'!$AA$29="Media",'Mapa final'!$AC$29="Catastrófico"),CONCATENATE("R6C",'Mapa final'!$Q$29),"")</f>
        <v/>
      </c>
      <c r="AI31" s="56" t="str">
        <f>IF(AND('Mapa final'!$AA$30="Media",'Mapa final'!$AC$30="Catastrófico"),CONCATENATE("R6C",'Mapa final'!$Q$30),"")</f>
        <v/>
      </c>
      <c r="AJ31" s="56" t="str">
        <f>IF(AND('Mapa final'!$AA$31="Media",'Mapa final'!$AC$31="Catastrófico"),CONCATENATE("R6C",'Mapa final'!$Q$31),"")</f>
        <v/>
      </c>
      <c r="AK31" s="56" t="str">
        <f>IF(AND('Mapa final'!$AA$32="Media",'Mapa final'!$AC$32="Catastrófico"),CONCATENATE("R6C",'Mapa final'!$Q$32),"")</f>
        <v/>
      </c>
      <c r="AL31" s="56" t="str">
        <f>IF(AND('Mapa final'!$AA$33="Media",'Mapa final'!$AC$33="Catastrófico"),CONCATENATE("R6C",'Mapa final'!$Q$33),"")</f>
        <v/>
      </c>
      <c r="AM31" s="57" t="str">
        <f>IF(AND('Mapa final'!$AA$34="Media",'Mapa final'!$AC$34="Catastrófico"),CONCATENATE("R6C",'Mapa final'!$Q$34),"")</f>
        <v/>
      </c>
      <c r="AN31" s="83"/>
      <c r="AO31" s="385"/>
      <c r="AP31" s="386"/>
      <c r="AQ31" s="386"/>
      <c r="AR31" s="386"/>
      <c r="AS31" s="386"/>
      <c r="AT31" s="38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35">
      <c r="A32" s="83"/>
      <c r="B32" s="304"/>
      <c r="C32" s="304"/>
      <c r="D32" s="305"/>
      <c r="E32" s="345"/>
      <c r="F32" s="346"/>
      <c r="G32" s="346"/>
      <c r="H32" s="346"/>
      <c r="I32" s="347"/>
      <c r="J32" s="67" t="str">
        <f ca="1">IF(AND('Mapa final'!$AA$35="Media",'Mapa final'!$AC$35="Leve"),CONCATENATE("R7C",'Mapa final'!$Q$35),"")</f>
        <v/>
      </c>
      <c r="K32" s="68" t="str">
        <f>IF(AND('Mapa final'!$AA$36="Media",'Mapa final'!$AC$36="Leve"),CONCATENATE("R7C",'Mapa final'!$Q$36),"")</f>
        <v/>
      </c>
      <c r="L32" s="68" t="str">
        <f>IF(AND('Mapa final'!$AA$37="Media",'Mapa final'!$AC$37="Leve"),CONCATENATE("R7C",'Mapa final'!$Q$37),"")</f>
        <v/>
      </c>
      <c r="M32" s="68" t="str">
        <f>IF(AND('Mapa final'!$AA$38="Media",'Mapa final'!$AC$38="Leve"),CONCATENATE("R7C",'Mapa final'!$Q$38),"")</f>
        <v/>
      </c>
      <c r="N32" s="68" t="str">
        <f>IF(AND('Mapa final'!$AA$39="Media",'Mapa final'!$AC$39="Leve"),CONCATENATE("R7C",'Mapa final'!$Q$39),"")</f>
        <v/>
      </c>
      <c r="O32" s="69" t="str">
        <f>IF(AND('Mapa final'!$AA$40="Media",'Mapa final'!$AC$40="Leve"),CONCATENATE("R7C",'Mapa final'!$Q$40),"")</f>
        <v/>
      </c>
      <c r="P32" s="67" t="str">
        <f ca="1">IF(AND('Mapa final'!$AA$35="Media",'Mapa final'!$AC$35="Menor"),CONCATENATE("R7C",'Mapa final'!$Q$35),"")</f>
        <v/>
      </c>
      <c r="Q32" s="68" t="str">
        <f>IF(AND('Mapa final'!$AA$36="Media",'Mapa final'!$AC$36="Menor"),CONCATENATE("R7C",'Mapa final'!$Q$36),"")</f>
        <v/>
      </c>
      <c r="R32" s="68" t="str">
        <f>IF(AND('Mapa final'!$AA$37="Media",'Mapa final'!$AC$37="Menor"),CONCATENATE("R7C",'Mapa final'!$Q$37),"")</f>
        <v/>
      </c>
      <c r="S32" s="68" t="str">
        <f>IF(AND('Mapa final'!$AA$38="Media",'Mapa final'!$AC$38="Menor"),CONCATENATE("R7C",'Mapa final'!$Q$38),"")</f>
        <v/>
      </c>
      <c r="T32" s="68" t="str">
        <f>IF(AND('Mapa final'!$AA$39="Media",'Mapa final'!$AC$39="Menor"),CONCATENATE("R7C",'Mapa final'!$Q$39),"")</f>
        <v/>
      </c>
      <c r="U32" s="69" t="str">
        <f>IF(AND('Mapa final'!$AA$40="Media",'Mapa final'!$AC$40="Menor"),CONCATENATE("R7C",'Mapa final'!$Q$40),"")</f>
        <v/>
      </c>
      <c r="V32" s="67" t="str">
        <f ca="1">IF(AND('Mapa final'!$AA$35="Media",'Mapa final'!$AC$35="Moderado"),CONCATENATE("R7C",'Mapa final'!$Q$35),"")</f>
        <v/>
      </c>
      <c r="W32" s="68" t="str">
        <f>IF(AND('Mapa final'!$AA$36="Media",'Mapa final'!$AC$36="Moderado"),CONCATENATE("R7C",'Mapa final'!$Q$36),"")</f>
        <v/>
      </c>
      <c r="X32" s="68" t="str">
        <f>IF(AND('Mapa final'!$AA$37="Media",'Mapa final'!$AC$37="Moderado"),CONCATENATE("R7C",'Mapa final'!$Q$37),"")</f>
        <v/>
      </c>
      <c r="Y32" s="68" t="str">
        <f>IF(AND('Mapa final'!$AA$38="Media",'Mapa final'!$AC$38="Moderado"),CONCATENATE("R7C",'Mapa final'!$Q$38),"")</f>
        <v/>
      </c>
      <c r="Z32" s="68" t="str">
        <f>IF(AND('Mapa final'!$AA$39="Media",'Mapa final'!$AC$39="Moderado"),CONCATENATE("R7C",'Mapa final'!$Q$39),"")</f>
        <v/>
      </c>
      <c r="AA32" s="69" t="str">
        <f>IF(AND('Mapa final'!$AA$40="Media",'Mapa final'!$AC$40="Moderado"),CONCATENATE("R7C",'Mapa final'!$Q$40),"")</f>
        <v/>
      </c>
      <c r="AB32" s="52" t="str">
        <f ca="1">IF(AND('Mapa final'!$AA$35="Media",'Mapa final'!$AC$35="Mayor"),CONCATENATE("R7C",'Mapa final'!$Q$35),"")</f>
        <v/>
      </c>
      <c r="AC32" s="53" t="str">
        <f>IF(AND('Mapa final'!$AA$36="Media",'Mapa final'!$AC$36="Mayor"),CONCATENATE("R7C",'Mapa final'!$Q$36),"")</f>
        <v/>
      </c>
      <c r="AD32" s="53" t="str">
        <f>IF(AND('Mapa final'!$AA$37="Media",'Mapa final'!$AC$37="Mayor"),CONCATENATE("R7C",'Mapa final'!$Q$37),"")</f>
        <v/>
      </c>
      <c r="AE32" s="53" t="str">
        <f>IF(AND('Mapa final'!$AA$38="Media",'Mapa final'!$AC$38="Mayor"),CONCATENATE("R7C",'Mapa final'!$Q$38),"")</f>
        <v/>
      </c>
      <c r="AF32" s="53" t="str">
        <f>IF(AND('Mapa final'!$AA$39="Media",'Mapa final'!$AC$39="Mayor"),CONCATENATE("R7C",'Mapa final'!$Q$39),"")</f>
        <v/>
      </c>
      <c r="AG32" s="54" t="str">
        <f>IF(AND('Mapa final'!$AA$40="Media",'Mapa final'!$AC$40="Mayor"),CONCATENATE("R7C",'Mapa final'!$Q$40),"")</f>
        <v/>
      </c>
      <c r="AH32" s="55" t="str">
        <f ca="1">IF(AND('Mapa final'!$AA$35="Media",'Mapa final'!$AC$35="Catastrófico"),CONCATENATE("R7C",'Mapa final'!$Q$35),"")</f>
        <v/>
      </c>
      <c r="AI32" s="56" t="str">
        <f>IF(AND('Mapa final'!$AA$36="Media",'Mapa final'!$AC$36="Catastrófico"),CONCATENATE("R7C",'Mapa final'!$Q$36),"")</f>
        <v/>
      </c>
      <c r="AJ32" s="56" t="str">
        <f>IF(AND('Mapa final'!$AA$37="Media",'Mapa final'!$AC$37="Catastrófico"),CONCATENATE("R7C",'Mapa final'!$Q$37),"")</f>
        <v/>
      </c>
      <c r="AK32" s="56" t="str">
        <f>IF(AND('Mapa final'!$AA$38="Media",'Mapa final'!$AC$38="Catastrófico"),CONCATENATE("R7C",'Mapa final'!$Q$38),"")</f>
        <v/>
      </c>
      <c r="AL32" s="56" t="str">
        <f>IF(AND('Mapa final'!$AA$39="Media",'Mapa final'!$AC$39="Catastrófico"),CONCATENATE("R7C",'Mapa final'!$Q$39),"")</f>
        <v/>
      </c>
      <c r="AM32" s="57" t="str">
        <f>IF(AND('Mapa final'!$AA$40="Media",'Mapa final'!$AC$40="Catastrófico"),CONCATENATE("R7C",'Mapa final'!$Q$40),"")</f>
        <v/>
      </c>
      <c r="AN32" s="83"/>
      <c r="AO32" s="385"/>
      <c r="AP32" s="386"/>
      <c r="AQ32" s="386"/>
      <c r="AR32" s="386"/>
      <c r="AS32" s="386"/>
      <c r="AT32" s="38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35">
      <c r="A33" s="83"/>
      <c r="B33" s="304"/>
      <c r="C33" s="304"/>
      <c r="D33" s="305"/>
      <c r="E33" s="345"/>
      <c r="F33" s="346"/>
      <c r="G33" s="346"/>
      <c r="H33" s="346"/>
      <c r="I33" s="347"/>
      <c r="J33" s="67" t="str">
        <f>IF(AND('Mapa final'!$AA$41="Media",'Mapa final'!$AC$41="Leve"),CONCATENATE("R8C",'Mapa final'!$Q$41),"")</f>
        <v/>
      </c>
      <c r="K33" s="68" t="str">
        <f>IF(AND('Mapa final'!$AA$42="Media",'Mapa final'!$AC$42="Leve"),CONCATENATE("R8C",'Mapa final'!$Q$42),"")</f>
        <v/>
      </c>
      <c r="L33" s="68" t="str">
        <f>IF(AND('Mapa final'!$AA$43="Media",'Mapa final'!$AC$43="Leve"),CONCATENATE("R8C",'Mapa final'!$Q$43),"")</f>
        <v/>
      </c>
      <c r="M33" s="68" t="str">
        <f>IF(AND('Mapa final'!$AA$44="Media",'Mapa final'!$AC$44="Leve"),CONCATENATE("R8C",'Mapa final'!$Q$44),"")</f>
        <v/>
      </c>
      <c r="N33" s="68" t="str">
        <f>IF(AND('Mapa final'!$AA$45="Media",'Mapa final'!$AC$45="Leve"),CONCATENATE("R8C",'Mapa final'!$Q$45),"")</f>
        <v/>
      </c>
      <c r="O33" s="69" t="str">
        <f>IF(AND('Mapa final'!$AA$46="Media",'Mapa final'!$AC$46="Leve"),CONCATENATE("R8C",'Mapa final'!$Q$46),"")</f>
        <v/>
      </c>
      <c r="P33" s="67" t="str">
        <f>IF(AND('Mapa final'!$AA$41="Media",'Mapa final'!$AC$41="Menor"),CONCATENATE("R8C",'Mapa final'!$Q$41),"")</f>
        <v/>
      </c>
      <c r="Q33" s="68" t="str">
        <f>IF(AND('Mapa final'!$AA$42="Media",'Mapa final'!$AC$42="Menor"),CONCATENATE("R8C",'Mapa final'!$Q$42),"")</f>
        <v/>
      </c>
      <c r="R33" s="68" t="str">
        <f>IF(AND('Mapa final'!$AA$43="Media",'Mapa final'!$AC$43="Menor"),CONCATENATE("R8C",'Mapa final'!$Q$43),"")</f>
        <v/>
      </c>
      <c r="S33" s="68" t="str">
        <f>IF(AND('Mapa final'!$AA$44="Media",'Mapa final'!$AC$44="Menor"),CONCATENATE("R8C",'Mapa final'!$Q$44),"")</f>
        <v/>
      </c>
      <c r="T33" s="68" t="str">
        <f>IF(AND('Mapa final'!$AA$45="Media",'Mapa final'!$AC$45="Menor"),CONCATENATE("R8C",'Mapa final'!$Q$45),"")</f>
        <v/>
      </c>
      <c r="U33" s="69" t="str">
        <f>IF(AND('Mapa final'!$AA$46="Media",'Mapa final'!$AC$46="Menor"),CONCATENATE("R8C",'Mapa final'!$Q$46),"")</f>
        <v/>
      </c>
      <c r="V33" s="67" t="str">
        <f>IF(AND('Mapa final'!$AA$41="Media",'Mapa final'!$AC$41="Moderado"),CONCATENATE("R8C",'Mapa final'!$Q$41),"")</f>
        <v/>
      </c>
      <c r="W33" s="68" t="str">
        <f>IF(AND('Mapa final'!$AA$42="Media",'Mapa final'!$AC$42="Moderado"),CONCATENATE("R8C",'Mapa final'!$Q$42),"")</f>
        <v/>
      </c>
      <c r="X33" s="68" t="str">
        <f>IF(AND('Mapa final'!$AA$43="Media",'Mapa final'!$AC$43="Moderado"),CONCATENATE("R8C",'Mapa final'!$Q$43),"")</f>
        <v/>
      </c>
      <c r="Y33" s="68" t="str">
        <f>IF(AND('Mapa final'!$AA$44="Media",'Mapa final'!$AC$44="Moderado"),CONCATENATE("R8C",'Mapa final'!$Q$44),"")</f>
        <v/>
      </c>
      <c r="Z33" s="68" t="str">
        <f>IF(AND('Mapa final'!$AA$45="Media",'Mapa final'!$AC$45="Moderado"),CONCATENATE("R8C",'Mapa final'!$Q$45),"")</f>
        <v/>
      </c>
      <c r="AA33" s="69" t="str">
        <f>IF(AND('Mapa final'!$AA$46="Media",'Mapa final'!$AC$46="Moderado"),CONCATENATE("R8C",'Mapa final'!$Q$46),"")</f>
        <v/>
      </c>
      <c r="AB33" s="52" t="str">
        <f>IF(AND('Mapa final'!$AA$41="Media",'Mapa final'!$AC$41="Mayor"),CONCATENATE("R8C",'Mapa final'!$Q$41),"")</f>
        <v/>
      </c>
      <c r="AC33" s="53" t="str">
        <f>IF(AND('Mapa final'!$AA$42="Media",'Mapa final'!$AC$42="Mayor"),CONCATENATE("R8C",'Mapa final'!$Q$42),"")</f>
        <v/>
      </c>
      <c r="AD33" s="53" t="str">
        <f>IF(AND('Mapa final'!$AA$43="Media",'Mapa final'!$AC$43="Mayor"),CONCATENATE("R8C",'Mapa final'!$Q$43),"")</f>
        <v/>
      </c>
      <c r="AE33" s="53" t="str">
        <f>IF(AND('Mapa final'!$AA$44="Media",'Mapa final'!$AC$44="Mayor"),CONCATENATE("R8C",'Mapa final'!$Q$44),"")</f>
        <v/>
      </c>
      <c r="AF33" s="53" t="str">
        <f>IF(AND('Mapa final'!$AA$45="Media",'Mapa final'!$AC$45="Mayor"),CONCATENATE("R8C",'Mapa final'!$Q$45),"")</f>
        <v/>
      </c>
      <c r="AG33" s="54" t="str">
        <f>IF(AND('Mapa final'!$AA$46="Media",'Mapa final'!$AC$46="Mayor"),CONCATENATE("R8C",'Mapa final'!$Q$46),"")</f>
        <v/>
      </c>
      <c r="AH33" s="55" t="str">
        <f>IF(AND('Mapa final'!$AA$41="Media",'Mapa final'!$AC$41="Catastrófico"),CONCATENATE("R8C",'Mapa final'!$Q$41),"")</f>
        <v/>
      </c>
      <c r="AI33" s="56" t="str">
        <f>IF(AND('Mapa final'!$AA$42="Media",'Mapa final'!$AC$42="Catastrófico"),CONCATENATE("R8C",'Mapa final'!$Q$42),"")</f>
        <v/>
      </c>
      <c r="AJ33" s="56" t="str">
        <f>IF(AND('Mapa final'!$AA$43="Media",'Mapa final'!$AC$43="Catastrófico"),CONCATENATE("R8C",'Mapa final'!$Q$43),"")</f>
        <v/>
      </c>
      <c r="AK33" s="56" t="str">
        <f>IF(AND('Mapa final'!$AA$44="Media",'Mapa final'!$AC$44="Catastrófico"),CONCATENATE("R8C",'Mapa final'!$Q$44),"")</f>
        <v/>
      </c>
      <c r="AL33" s="56" t="str">
        <f>IF(AND('Mapa final'!$AA$45="Media",'Mapa final'!$AC$45="Catastrófico"),CONCATENATE("R8C",'Mapa final'!$Q$45),"")</f>
        <v/>
      </c>
      <c r="AM33" s="57" t="str">
        <f>IF(AND('Mapa final'!$AA$46="Media",'Mapa final'!$AC$46="Catastrófico"),CONCATENATE("R8C",'Mapa final'!$Q$46),"")</f>
        <v/>
      </c>
      <c r="AN33" s="83"/>
      <c r="AO33" s="385"/>
      <c r="AP33" s="386"/>
      <c r="AQ33" s="386"/>
      <c r="AR33" s="386"/>
      <c r="AS33" s="386"/>
      <c r="AT33" s="38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35">
      <c r="A34" s="83"/>
      <c r="B34" s="304"/>
      <c r="C34" s="304"/>
      <c r="D34" s="305"/>
      <c r="E34" s="345"/>
      <c r="F34" s="346"/>
      <c r="G34" s="346"/>
      <c r="H34" s="346"/>
      <c r="I34" s="347"/>
      <c r="J34" s="67" t="str">
        <f>IF(AND('Mapa final'!$AA$47="Media",'Mapa final'!$AC$47="Leve"),CONCATENATE("R9C",'Mapa final'!$Q$47),"")</f>
        <v/>
      </c>
      <c r="K34" s="68" t="str">
        <f>IF(AND('Mapa final'!$AA$48="Media",'Mapa final'!$AC$48="Leve"),CONCATENATE("R9C",'Mapa final'!$Q$48),"")</f>
        <v/>
      </c>
      <c r="L34" s="68" t="str">
        <f>IF(AND('Mapa final'!$AA$49="Media",'Mapa final'!$AC$49="Leve"),CONCATENATE("R9C",'Mapa final'!$Q$49),"")</f>
        <v/>
      </c>
      <c r="M34" s="68" t="str">
        <f>IF(AND('Mapa final'!$AA$50="Media",'Mapa final'!$AC$50="Leve"),CONCATENATE("R9C",'Mapa final'!$Q$50),"")</f>
        <v/>
      </c>
      <c r="N34" s="68" t="str">
        <f>IF(AND('Mapa final'!$AA$51="Media",'Mapa final'!$AC$51="Leve"),CONCATENATE("R9C",'Mapa final'!$Q$51),"")</f>
        <v/>
      </c>
      <c r="O34" s="69" t="str">
        <f>IF(AND('Mapa final'!$AA$52="Media",'Mapa final'!$AC$52="Leve"),CONCATENATE("R9C",'Mapa final'!$Q$52),"")</f>
        <v/>
      </c>
      <c r="P34" s="67" t="str">
        <f>IF(AND('Mapa final'!$AA$47="Media",'Mapa final'!$AC$47="Menor"),CONCATENATE("R9C",'Mapa final'!$Q$47),"")</f>
        <v/>
      </c>
      <c r="Q34" s="68" t="str">
        <f>IF(AND('Mapa final'!$AA$48="Media",'Mapa final'!$AC$48="Menor"),CONCATENATE("R9C",'Mapa final'!$Q$48),"")</f>
        <v/>
      </c>
      <c r="R34" s="68" t="str">
        <f>IF(AND('Mapa final'!$AA$49="Media",'Mapa final'!$AC$49="Menor"),CONCATENATE("R9C",'Mapa final'!$Q$49),"")</f>
        <v/>
      </c>
      <c r="S34" s="68" t="str">
        <f>IF(AND('Mapa final'!$AA$50="Media",'Mapa final'!$AC$50="Menor"),CONCATENATE("R9C",'Mapa final'!$Q$50),"")</f>
        <v/>
      </c>
      <c r="T34" s="68" t="str">
        <f>IF(AND('Mapa final'!$AA$51="Media",'Mapa final'!$AC$51="Menor"),CONCATENATE("R9C",'Mapa final'!$Q$51),"")</f>
        <v/>
      </c>
      <c r="U34" s="69" t="str">
        <f>IF(AND('Mapa final'!$AA$52="Media",'Mapa final'!$AC$52="Menor"),CONCATENATE("R9C",'Mapa final'!$Q$52),"")</f>
        <v/>
      </c>
      <c r="V34" s="67" t="str">
        <f>IF(AND('Mapa final'!$AA$47="Media",'Mapa final'!$AC$47="Moderado"),CONCATENATE("R9C",'Mapa final'!$Q$47),"")</f>
        <v/>
      </c>
      <c r="W34" s="68" t="str">
        <f>IF(AND('Mapa final'!$AA$48="Media",'Mapa final'!$AC$48="Moderado"),CONCATENATE("R9C",'Mapa final'!$Q$48),"")</f>
        <v/>
      </c>
      <c r="X34" s="68" t="str">
        <f>IF(AND('Mapa final'!$AA$49="Media",'Mapa final'!$AC$49="Moderado"),CONCATENATE("R9C",'Mapa final'!$Q$49),"")</f>
        <v/>
      </c>
      <c r="Y34" s="68" t="str">
        <f>IF(AND('Mapa final'!$AA$50="Media",'Mapa final'!$AC$50="Moderado"),CONCATENATE("R9C",'Mapa final'!$Q$50),"")</f>
        <v/>
      </c>
      <c r="Z34" s="68" t="str">
        <f>IF(AND('Mapa final'!$AA$51="Media",'Mapa final'!$AC$51="Moderado"),CONCATENATE("R9C",'Mapa final'!$Q$51),"")</f>
        <v/>
      </c>
      <c r="AA34" s="69" t="str">
        <f>IF(AND('Mapa final'!$AA$52="Media",'Mapa final'!$AC$52="Moderado"),CONCATENATE("R9C",'Mapa final'!$Q$52),"")</f>
        <v/>
      </c>
      <c r="AB34" s="52" t="str">
        <f>IF(AND('Mapa final'!$AA$47="Media",'Mapa final'!$AC$47="Mayor"),CONCATENATE("R9C",'Mapa final'!$Q$47),"")</f>
        <v/>
      </c>
      <c r="AC34" s="53" t="str">
        <f>IF(AND('Mapa final'!$AA$48="Media",'Mapa final'!$AC$48="Mayor"),CONCATENATE("R9C",'Mapa final'!$Q$48),"")</f>
        <v/>
      </c>
      <c r="AD34" s="53" t="str">
        <f>IF(AND('Mapa final'!$AA$49="Media",'Mapa final'!$AC$49="Mayor"),CONCATENATE("R9C",'Mapa final'!$Q$49),"")</f>
        <v/>
      </c>
      <c r="AE34" s="53" t="str">
        <f>IF(AND('Mapa final'!$AA$50="Media",'Mapa final'!$AC$50="Mayor"),CONCATENATE("R9C",'Mapa final'!$Q$50),"")</f>
        <v/>
      </c>
      <c r="AF34" s="53" t="str">
        <f>IF(AND('Mapa final'!$AA$51="Media",'Mapa final'!$AC$51="Mayor"),CONCATENATE("R9C",'Mapa final'!$Q$51),"")</f>
        <v/>
      </c>
      <c r="AG34" s="54" t="str">
        <f>IF(AND('Mapa final'!$AA$52="Media",'Mapa final'!$AC$52="Mayor"),CONCATENATE("R9C",'Mapa final'!$Q$52),"")</f>
        <v/>
      </c>
      <c r="AH34" s="55" t="str">
        <f>IF(AND('Mapa final'!$AA$47="Media",'Mapa final'!$AC$47="Catastrófico"),CONCATENATE("R9C",'Mapa final'!$Q$47),"")</f>
        <v/>
      </c>
      <c r="AI34" s="56" t="str">
        <f>IF(AND('Mapa final'!$AA$48="Media",'Mapa final'!$AC$48="Catastrófico"),CONCATENATE("R9C",'Mapa final'!$Q$48),"")</f>
        <v/>
      </c>
      <c r="AJ34" s="56" t="str">
        <f>IF(AND('Mapa final'!$AA$49="Media",'Mapa final'!$AC$49="Catastrófico"),CONCATENATE("R9C",'Mapa final'!$Q$49),"")</f>
        <v/>
      </c>
      <c r="AK34" s="56" t="str">
        <f>IF(AND('Mapa final'!$AA$50="Media",'Mapa final'!$AC$50="Catastrófico"),CONCATENATE("R9C",'Mapa final'!$Q$50),"")</f>
        <v/>
      </c>
      <c r="AL34" s="56" t="str">
        <f>IF(AND('Mapa final'!$AA$51="Media",'Mapa final'!$AC$51="Catastrófico"),CONCATENATE("R9C",'Mapa final'!$Q$51),"")</f>
        <v/>
      </c>
      <c r="AM34" s="57" t="str">
        <f>IF(AND('Mapa final'!$AA$52="Media",'Mapa final'!$AC$52="Catastrófico"),CONCATENATE("R9C",'Mapa final'!$Q$52),"")</f>
        <v/>
      </c>
      <c r="AN34" s="83"/>
      <c r="AO34" s="385"/>
      <c r="AP34" s="386"/>
      <c r="AQ34" s="386"/>
      <c r="AR34" s="386"/>
      <c r="AS34" s="386"/>
      <c r="AT34" s="38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4">
      <c r="A35" s="83"/>
      <c r="B35" s="304"/>
      <c r="C35" s="304"/>
      <c r="D35" s="305"/>
      <c r="E35" s="348"/>
      <c r="F35" s="349"/>
      <c r="G35" s="349"/>
      <c r="H35" s="349"/>
      <c r="I35" s="350"/>
      <c r="J35" s="67" t="str">
        <f>IF(AND('Mapa final'!$AA$53="Media",'Mapa final'!$AC$53="Leve"),CONCATENATE("R10C",'Mapa final'!$Q$53),"")</f>
        <v/>
      </c>
      <c r="K35" s="68" t="str">
        <f>IF(AND('Mapa final'!$AA$54="Media",'Mapa final'!$AC$54="Leve"),CONCATENATE("R10C",'Mapa final'!$Q$54),"")</f>
        <v/>
      </c>
      <c r="L35" s="68" t="str">
        <f>IF(AND('Mapa final'!$AA$55="Media",'Mapa final'!$AC$55="Leve"),CONCATENATE("R10C",'Mapa final'!$Q$55),"")</f>
        <v/>
      </c>
      <c r="M35" s="68" t="str">
        <f>IF(AND('Mapa final'!$AA$56="Media",'Mapa final'!$AC$56="Leve"),CONCATENATE("R10C",'Mapa final'!$Q$56),"")</f>
        <v/>
      </c>
      <c r="N35" s="68" t="str">
        <f>IF(AND('Mapa final'!$AA$57="Media",'Mapa final'!$AC$57="Leve"),CONCATENATE("R10C",'Mapa final'!$Q$57),"")</f>
        <v/>
      </c>
      <c r="O35" s="69" t="str">
        <f>IF(AND('Mapa final'!$AA$58="Media",'Mapa final'!$AC$58="Leve"),CONCATENATE("R10C",'Mapa final'!$Q$58),"")</f>
        <v/>
      </c>
      <c r="P35" s="67" t="str">
        <f>IF(AND('Mapa final'!$AA$53="Media",'Mapa final'!$AC$53="Menor"),CONCATENATE("R10C",'Mapa final'!$Q$53),"")</f>
        <v/>
      </c>
      <c r="Q35" s="68" t="str">
        <f>IF(AND('Mapa final'!$AA$54="Media",'Mapa final'!$AC$54="Menor"),CONCATENATE("R10C",'Mapa final'!$Q$54),"")</f>
        <v/>
      </c>
      <c r="R35" s="68" t="str">
        <f>IF(AND('Mapa final'!$AA$55="Media",'Mapa final'!$AC$55="Menor"),CONCATENATE("R10C",'Mapa final'!$Q$55),"")</f>
        <v/>
      </c>
      <c r="S35" s="68" t="str">
        <f>IF(AND('Mapa final'!$AA$56="Media",'Mapa final'!$AC$56="Menor"),CONCATENATE("R10C",'Mapa final'!$Q$56),"")</f>
        <v/>
      </c>
      <c r="T35" s="68" t="str">
        <f>IF(AND('Mapa final'!$AA$57="Media",'Mapa final'!$AC$57="Menor"),CONCATENATE("R10C",'Mapa final'!$Q$57),"")</f>
        <v/>
      </c>
      <c r="U35" s="69" t="str">
        <f>IF(AND('Mapa final'!$AA$58="Media",'Mapa final'!$AC$58="Menor"),CONCATENATE("R10C",'Mapa final'!$Q$58),"")</f>
        <v/>
      </c>
      <c r="V35" s="67" t="str">
        <f>IF(AND('Mapa final'!$AA$53="Media",'Mapa final'!$AC$53="Moderado"),CONCATENATE("R10C",'Mapa final'!$Q$53),"")</f>
        <v/>
      </c>
      <c r="W35" s="68" t="str">
        <f>IF(AND('Mapa final'!$AA$54="Media",'Mapa final'!$AC$54="Moderado"),CONCATENATE("R10C",'Mapa final'!$Q$54),"")</f>
        <v/>
      </c>
      <c r="X35" s="68" t="str">
        <f>IF(AND('Mapa final'!$AA$55="Media",'Mapa final'!$AC$55="Moderado"),CONCATENATE("R10C",'Mapa final'!$Q$55),"")</f>
        <v/>
      </c>
      <c r="Y35" s="68" t="str">
        <f>IF(AND('Mapa final'!$AA$56="Media",'Mapa final'!$AC$56="Moderado"),CONCATENATE("R10C",'Mapa final'!$Q$56),"")</f>
        <v/>
      </c>
      <c r="Z35" s="68" t="str">
        <f>IF(AND('Mapa final'!$AA$57="Media",'Mapa final'!$AC$57="Moderado"),CONCATENATE("R10C",'Mapa final'!$Q$57),"")</f>
        <v/>
      </c>
      <c r="AA35" s="69" t="str">
        <f>IF(AND('Mapa final'!$AA$58="Media",'Mapa final'!$AC$58="Moderado"),CONCATENATE("R10C",'Mapa final'!$Q$58),"")</f>
        <v/>
      </c>
      <c r="AB35" s="58" t="str">
        <f>IF(AND('Mapa final'!$AA$53="Media",'Mapa final'!$AC$53="Mayor"),CONCATENATE("R10C",'Mapa final'!$Q$53),"")</f>
        <v/>
      </c>
      <c r="AC35" s="59" t="str">
        <f>IF(AND('Mapa final'!$AA$54="Media",'Mapa final'!$AC$54="Mayor"),CONCATENATE("R10C",'Mapa final'!$Q$54),"")</f>
        <v/>
      </c>
      <c r="AD35" s="59" t="str">
        <f>IF(AND('Mapa final'!$AA$55="Media",'Mapa final'!$AC$55="Mayor"),CONCATENATE("R10C",'Mapa final'!$Q$55),"")</f>
        <v/>
      </c>
      <c r="AE35" s="59" t="str">
        <f>IF(AND('Mapa final'!$AA$56="Media",'Mapa final'!$AC$56="Mayor"),CONCATENATE("R10C",'Mapa final'!$Q$56),"")</f>
        <v/>
      </c>
      <c r="AF35" s="59" t="str">
        <f>IF(AND('Mapa final'!$AA$57="Media",'Mapa final'!$AC$57="Mayor"),CONCATENATE("R10C",'Mapa final'!$Q$57),"")</f>
        <v/>
      </c>
      <c r="AG35" s="60" t="str">
        <f>IF(AND('Mapa final'!$AA$58="Media",'Mapa final'!$AC$58="Mayor"),CONCATENATE("R10C",'Mapa final'!$Q$58),"")</f>
        <v/>
      </c>
      <c r="AH35" s="61" t="str">
        <f>IF(AND('Mapa final'!$AA$53="Media",'Mapa final'!$AC$53="Catastrófico"),CONCATENATE("R10C",'Mapa final'!$Q$53),"")</f>
        <v/>
      </c>
      <c r="AI35" s="62" t="str">
        <f>IF(AND('Mapa final'!$AA$54="Media",'Mapa final'!$AC$54="Catastrófico"),CONCATENATE("R10C",'Mapa final'!$Q$54),"")</f>
        <v/>
      </c>
      <c r="AJ35" s="62" t="str">
        <f>IF(AND('Mapa final'!$AA$55="Media",'Mapa final'!$AC$55="Catastrófico"),CONCATENATE("R10C",'Mapa final'!$Q$55),"")</f>
        <v/>
      </c>
      <c r="AK35" s="62" t="str">
        <f>IF(AND('Mapa final'!$AA$56="Media",'Mapa final'!$AC$56="Catastrófico"),CONCATENATE("R10C",'Mapa final'!$Q$56),"")</f>
        <v/>
      </c>
      <c r="AL35" s="62" t="str">
        <f>IF(AND('Mapa final'!$AA$57="Media",'Mapa final'!$AC$57="Catastrófico"),CONCATENATE("R10C",'Mapa final'!$Q$57),"")</f>
        <v/>
      </c>
      <c r="AM35" s="63" t="str">
        <f>IF(AND('Mapa final'!$AA$58="Media",'Mapa final'!$AC$58="Catastrófico"),CONCATENATE("R10C",'Mapa final'!$Q$58),"")</f>
        <v/>
      </c>
      <c r="AN35" s="83"/>
      <c r="AO35" s="388"/>
      <c r="AP35" s="389"/>
      <c r="AQ35" s="389"/>
      <c r="AR35" s="389"/>
      <c r="AS35" s="389"/>
      <c r="AT35" s="39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35">
      <c r="A36" s="83"/>
      <c r="B36" s="304"/>
      <c r="C36" s="304"/>
      <c r="D36" s="305"/>
      <c r="E36" s="342" t="s">
        <v>106</v>
      </c>
      <c r="F36" s="343"/>
      <c r="G36" s="343"/>
      <c r="H36" s="343"/>
      <c r="I36" s="343"/>
      <c r="J36" s="73" t="str">
        <f ca="1">IF(AND('Mapa final'!$AA$11="Baja",'Mapa final'!$AC$11="Leve"),CONCATENATE("R1C",'Mapa final'!$Q$11),"")</f>
        <v/>
      </c>
      <c r="K36" s="74" t="str">
        <f>IF(AND('Mapa final'!$AA$12="Baja",'Mapa final'!$AC$12="Leve"),CONCATENATE("R1C",'Mapa final'!$Q$12),"")</f>
        <v/>
      </c>
      <c r="L36" s="74" t="str">
        <f>IF(AND('Mapa final'!$AA$13="Baja",'Mapa final'!$AC$13="Leve"),CONCATENATE("R1C",'Mapa final'!$Q$13),"")</f>
        <v/>
      </c>
      <c r="M36" s="74" t="str">
        <f>IF(AND('Mapa final'!$AA$14="Baja",'Mapa final'!$AC$14="Leve"),CONCATENATE("R1C",'Mapa final'!$Q$14),"")</f>
        <v/>
      </c>
      <c r="N36" s="74" t="str">
        <f>IF(AND('Mapa final'!$AA$15="Baja",'Mapa final'!$AC$15="Leve"),CONCATENATE("R1C",'Mapa final'!$Q$15),"")</f>
        <v/>
      </c>
      <c r="O36" s="75" t="str">
        <f>IF(AND('Mapa final'!$AA$16="Baja",'Mapa final'!$AC$16="Leve"),CONCATENATE("R1C",'Mapa final'!$Q$16),"")</f>
        <v/>
      </c>
      <c r="P36" s="64" t="str">
        <f ca="1">IF(AND('Mapa final'!$AA$11="Baja",'Mapa final'!$AC$11="Menor"),CONCATENATE("R1C",'Mapa final'!$Q$11),"")</f>
        <v>R1C1</v>
      </c>
      <c r="Q36" s="65" t="str">
        <f>IF(AND('Mapa final'!$AA$12="Baja",'Mapa final'!$AC$12="Menor"),CONCATENATE("R1C",'Mapa final'!$Q$12),"")</f>
        <v/>
      </c>
      <c r="R36" s="65" t="str">
        <f>IF(AND('Mapa final'!$AA$13="Baja",'Mapa final'!$AC$13="Menor"),CONCATENATE("R1C",'Mapa final'!$Q$13),"")</f>
        <v/>
      </c>
      <c r="S36" s="65" t="str">
        <f>IF(AND('Mapa final'!$AA$14="Baja",'Mapa final'!$AC$14="Menor"),CONCATENATE("R1C",'Mapa final'!$Q$14),"")</f>
        <v/>
      </c>
      <c r="T36" s="65" t="str">
        <f>IF(AND('Mapa final'!$AA$15="Baja",'Mapa final'!$AC$15="Menor"),CONCATENATE("R1C",'Mapa final'!$Q$15),"")</f>
        <v/>
      </c>
      <c r="U36" s="66" t="str">
        <f>IF(AND('Mapa final'!$AA$16="Baja",'Mapa final'!$AC$16="Menor"),CONCATENATE("R1C",'Mapa final'!$Q$16),"")</f>
        <v/>
      </c>
      <c r="V36" s="64" t="str">
        <f ca="1">IF(AND('Mapa final'!$AA$11="Baja",'Mapa final'!$AC$11="Moderado"),CONCATENATE("R1C",'Mapa final'!$Q$11),"")</f>
        <v/>
      </c>
      <c r="W36" s="65" t="str">
        <f>IF(AND('Mapa final'!$AA$12="Baja",'Mapa final'!$AC$12="Moderado"),CONCATENATE("R1C",'Mapa final'!$Q$12),"")</f>
        <v/>
      </c>
      <c r="X36" s="65" t="str">
        <f>IF(AND('Mapa final'!$AA$13="Baja",'Mapa final'!$AC$13="Moderado"),CONCATENATE("R1C",'Mapa final'!$Q$13),"")</f>
        <v/>
      </c>
      <c r="Y36" s="65" t="str">
        <f>IF(AND('Mapa final'!$AA$14="Baja",'Mapa final'!$AC$14="Moderado"),CONCATENATE("R1C",'Mapa final'!$Q$14),"")</f>
        <v/>
      </c>
      <c r="Z36" s="65" t="str">
        <f>IF(AND('Mapa final'!$AA$15="Baja",'Mapa final'!$AC$15="Moderado"),CONCATENATE("R1C",'Mapa final'!$Q$15),"")</f>
        <v/>
      </c>
      <c r="AA36" s="66" t="str">
        <f>IF(AND('Mapa final'!$AA$16="Baja",'Mapa final'!$AC$16="Moderado"),CONCATENATE("R1C",'Mapa final'!$Q$16),"")</f>
        <v/>
      </c>
      <c r="AB36" s="46" t="str">
        <f ca="1">IF(AND('Mapa final'!$AA$11="Baja",'Mapa final'!$AC$11="Mayor"),CONCATENATE("R1C",'Mapa final'!$Q$11),"")</f>
        <v/>
      </c>
      <c r="AC36" s="47" t="str">
        <f>IF(AND('Mapa final'!$AA$12="Baja",'Mapa final'!$AC$12="Mayor"),CONCATENATE("R1C",'Mapa final'!$Q$12),"")</f>
        <v/>
      </c>
      <c r="AD36" s="47" t="str">
        <f>IF(AND('Mapa final'!$AA$13="Baja",'Mapa final'!$AC$13="Mayor"),CONCATENATE("R1C",'Mapa final'!$Q$13),"")</f>
        <v/>
      </c>
      <c r="AE36" s="47" t="str">
        <f>IF(AND('Mapa final'!$AA$14="Baja",'Mapa final'!$AC$14="Mayor"),CONCATENATE("R1C",'Mapa final'!$Q$14),"")</f>
        <v/>
      </c>
      <c r="AF36" s="47" t="str">
        <f>IF(AND('Mapa final'!$AA$15="Baja",'Mapa final'!$AC$15="Mayor"),CONCATENATE("R1C",'Mapa final'!$Q$15),"")</f>
        <v/>
      </c>
      <c r="AG36" s="48" t="str">
        <f>IF(AND('Mapa final'!$AA$16="Baja",'Mapa final'!$AC$16="Mayor"),CONCATENATE("R1C",'Mapa final'!$Q$16),"")</f>
        <v/>
      </c>
      <c r="AH36" s="49" t="str">
        <f ca="1">IF(AND('Mapa final'!$AA$11="Baja",'Mapa final'!$AC$11="Catastrófico"),CONCATENATE("R1C",'Mapa final'!$Q$11),"")</f>
        <v/>
      </c>
      <c r="AI36" s="50" t="str">
        <f>IF(AND('Mapa final'!$AA$12="Baja",'Mapa final'!$AC$12="Catastrófico"),CONCATENATE("R1C",'Mapa final'!$Q$12),"")</f>
        <v/>
      </c>
      <c r="AJ36" s="50" t="str">
        <f>IF(AND('Mapa final'!$AA$13="Baja",'Mapa final'!$AC$13="Catastrófico"),CONCATENATE("R1C",'Mapa final'!$Q$13),"")</f>
        <v/>
      </c>
      <c r="AK36" s="50" t="str">
        <f>IF(AND('Mapa final'!$AA$14="Baja",'Mapa final'!$AC$14="Catastrófico"),CONCATENATE("R1C",'Mapa final'!$Q$14),"")</f>
        <v/>
      </c>
      <c r="AL36" s="50" t="str">
        <f>IF(AND('Mapa final'!$AA$15="Baja",'Mapa final'!$AC$15="Catastrófico"),CONCATENATE("R1C",'Mapa final'!$Q$15),"")</f>
        <v/>
      </c>
      <c r="AM36" s="51" t="str">
        <f>IF(AND('Mapa final'!$AA$16="Baja",'Mapa final'!$AC$16="Catastrófico"),CONCATENATE("R1C",'Mapa final'!$Q$16),"")</f>
        <v/>
      </c>
      <c r="AN36" s="83"/>
      <c r="AO36" s="373" t="s">
        <v>79</v>
      </c>
      <c r="AP36" s="374"/>
      <c r="AQ36" s="374"/>
      <c r="AR36" s="374"/>
      <c r="AS36" s="374"/>
      <c r="AT36" s="37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35">
      <c r="A37" s="83"/>
      <c r="B37" s="304"/>
      <c r="C37" s="304"/>
      <c r="D37" s="305"/>
      <c r="E37" s="361"/>
      <c r="F37" s="346"/>
      <c r="G37" s="346"/>
      <c r="H37" s="346"/>
      <c r="I37" s="346"/>
      <c r="J37" s="76" t="e">
        <f>IF(AND('Mapa final'!#REF!="Baja",'Mapa final'!#REF!="Leve"),CONCATENATE("R2C",'Mapa final'!#REF!),"")</f>
        <v>#REF!</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e">
        <f>IF(AND('Mapa final'!#REF!="Baja",'Mapa final'!#REF!="Menor"),CONCATENATE("R2C",'Mapa final'!#REF!),"")</f>
        <v>#REF!</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e">
        <f>IF(AND('Mapa final'!#REF!="Baja",'Mapa final'!#REF!="Moderado"),CONCATENATE("R2C",'Mapa final'!#REF!),"")</f>
        <v>#REF!</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76"/>
      <c r="AP37" s="377"/>
      <c r="AQ37" s="377"/>
      <c r="AR37" s="377"/>
      <c r="AS37" s="377"/>
      <c r="AT37" s="37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35">
      <c r="A38" s="83"/>
      <c r="B38" s="304"/>
      <c r="C38" s="304"/>
      <c r="D38" s="305"/>
      <c r="E38" s="345"/>
      <c r="F38" s="346"/>
      <c r="G38" s="346"/>
      <c r="H38" s="346"/>
      <c r="I38" s="346"/>
      <c r="J38" s="76" t="e">
        <f>IF(AND('Mapa final'!#REF!="Baja",'Mapa final'!#REF!="Leve"),CONCATENATE("R3C",'Mapa final'!#REF!),"")</f>
        <v>#REF!</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e">
        <f>IF(AND('Mapa final'!#REF!="Baja",'Mapa final'!#REF!="Menor"),CONCATENATE("R3C",'Mapa final'!#REF!),"")</f>
        <v>#REF!</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e">
        <f>IF(AND('Mapa final'!#REF!="Baja",'Mapa final'!#REF!="Moderado"),CONCATENATE("R3C",'Mapa final'!#REF!),"")</f>
        <v>#REF!</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e">
        <f>IF(AND('Mapa final'!#REF!="Baja",'Mapa final'!#REF!="Mayor"),CONCATENATE("R3C",'Mapa final'!#REF!),"")</f>
        <v>#REF!</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e">
        <f>IF(AND('Mapa final'!#REF!="Baja",'Mapa final'!#REF!="Catastrófico"),CONCATENATE("R3C",'Mapa final'!#REF!),"")</f>
        <v>#REF!</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76"/>
      <c r="AP38" s="377"/>
      <c r="AQ38" s="377"/>
      <c r="AR38" s="377"/>
      <c r="AS38" s="377"/>
      <c r="AT38" s="37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35">
      <c r="A39" s="83"/>
      <c r="B39" s="304"/>
      <c r="C39" s="304"/>
      <c r="D39" s="305"/>
      <c r="E39" s="345"/>
      <c r="F39" s="346"/>
      <c r="G39" s="346"/>
      <c r="H39" s="346"/>
      <c r="I39" s="346"/>
      <c r="J39" s="76" t="str">
        <f ca="1">IF(AND('Mapa final'!$AA$17="Baja",'Mapa final'!$AC$17="Leve"),CONCATENATE("R4C",'Mapa final'!$Q$17),"")</f>
        <v/>
      </c>
      <c r="K39" s="77" t="str">
        <f>IF(AND('Mapa final'!$AA$18="Baja",'Mapa final'!$AC$18="Leve"),CONCATENATE("R4C",'Mapa final'!$Q$18),"")</f>
        <v/>
      </c>
      <c r="L39" s="77" t="str">
        <f>IF(AND('Mapa final'!$AA$19="Baja",'Mapa final'!$AC$19="Leve"),CONCATENATE("R4C",'Mapa final'!$Q$19),"")</f>
        <v/>
      </c>
      <c r="M39" s="77" t="str">
        <f>IF(AND('Mapa final'!$AA$20="Baja",'Mapa final'!$AC$20="Leve"),CONCATENATE("R4C",'Mapa final'!$Q$20),"")</f>
        <v/>
      </c>
      <c r="N39" s="77" t="str">
        <f>IF(AND('Mapa final'!$AA$21="Baja",'Mapa final'!$AC$21="Leve"),CONCATENATE("R4C",'Mapa final'!$Q$21),"")</f>
        <v/>
      </c>
      <c r="O39" s="78" t="str">
        <f>IF(AND('Mapa final'!$AA$22="Baja",'Mapa final'!$AC$22="Leve"),CONCATENATE("R4C",'Mapa final'!$Q$22),"")</f>
        <v/>
      </c>
      <c r="P39" s="67" t="str">
        <f ca="1">IF(AND('Mapa final'!$AA$17="Baja",'Mapa final'!$AC$17="Menor"),CONCATENATE("R4C",'Mapa final'!$Q$17),"")</f>
        <v/>
      </c>
      <c r="Q39" s="68" t="str">
        <f>IF(AND('Mapa final'!$AA$18="Baja",'Mapa final'!$AC$18="Menor"),CONCATENATE("R4C",'Mapa final'!$Q$18),"")</f>
        <v/>
      </c>
      <c r="R39" s="68" t="str">
        <f>IF(AND('Mapa final'!$AA$19="Baja",'Mapa final'!$AC$19="Menor"),CONCATENATE("R4C",'Mapa final'!$Q$19),"")</f>
        <v/>
      </c>
      <c r="S39" s="68" t="str">
        <f>IF(AND('Mapa final'!$AA$20="Baja",'Mapa final'!$AC$20="Menor"),CONCATENATE("R4C",'Mapa final'!$Q$20),"")</f>
        <v/>
      </c>
      <c r="T39" s="68" t="str">
        <f>IF(AND('Mapa final'!$AA$21="Baja",'Mapa final'!$AC$21="Menor"),CONCATENATE("R4C",'Mapa final'!$Q$21),"")</f>
        <v/>
      </c>
      <c r="U39" s="69" t="str">
        <f>IF(AND('Mapa final'!$AA$22="Baja",'Mapa final'!$AC$22="Menor"),CONCATENATE("R4C",'Mapa final'!$Q$22),"")</f>
        <v/>
      </c>
      <c r="V39" s="67" t="str">
        <f ca="1">IF(AND('Mapa final'!$AA$17="Baja",'Mapa final'!$AC$17="Moderado"),CONCATENATE("R4C",'Mapa final'!$Q$17),"")</f>
        <v/>
      </c>
      <c r="W39" s="68" t="str">
        <f>IF(AND('Mapa final'!$AA$18="Baja",'Mapa final'!$AC$18="Moderado"),CONCATENATE("R4C",'Mapa final'!$Q$18),"")</f>
        <v/>
      </c>
      <c r="X39" s="68" t="str">
        <f>IF(AND('Mapa final'!$AA$19="Baja",'Mapa final'!$AC$19="Moderado"),CONCATENATE("R4C",'Mapa final'!$Q$19),"")</f>
        <v/>
      </c>
      <c r="Y39" s="68" t="str">
        <f>IF(AND('Mapa final'!$AA$20="Baja",'Mapa final'!$AC$20="Moderado"),CONCATENATE("R4C",'Mapa final'!$Q$20),"")</f>
        <v/>
      </c>
      <c r="Z39" s="68" t="str">
        <f>IF(AND('Mapa final'!$AA$21="Baja",'Mapa final'!$AC$21="Moderado"),CONCATENATE("R4C",'Mapa final'!$Q$21),"")</f>
        <v/>
      </c>
      <c r="AA39" s="69" t="str">
        <f>IF(AND('Mapa final'!$AA$22="Baja",'Mapa final'!$AC$22="Moderado"),CONCATENATE("R4C",'Mapa final'!$Q$22),"")</f>
        <v/>
      </c>
      <c r="AB39" s="52" t="str">
        <f ca="1">IF(AND('Mapa final'!$AA$17="Baja",'Mapa final'!$AC$17="Mayor"),CONCATENATE("R4C",'Mapa final'!$Q$17),"")</f>
        <v/>
      </c>
      <c r="AC39" s="53" t="str">
        <f>IF(AND('Mapa final'!$AA$18="Baja",'Mapa final'!$AC$18="Mayor"),CONCATENATE("R4C",'Mapa final'!$Q$18),"")</f>
        <v/>
      </c>
      <c r="AD39" s="53" t="str">
        <f>IF(AND('Mapa final'!$AA$19="Baja",'Mapa final'!$AC$19="Mayor"),CONCATENATE("R4C",'Mapa final'!$Q$19),"")</f>
        <v/>
      </c>
      <c r="AE39" s="53" t="str">
        <f>IF(AND('Mapa final'!$AA$20="Baja",'Mapa final'!$AC$20="Mayor"),CONCATENATE("R4C",'Mapa final'!$Q$20),"")</f>
        <v/>
      </c>
      <c r="AF39" s="53" t="str">
        <f>IF(AND('Mapa final'!$AA$21="Baja",'Mapa final'!$AC$21="Mayor"),CONCATENATE("R4C",'Mapa final'!$Q$21),"")</f>
        <v/>
      </c>
      <c r="AG39" s="54" t="str">
        <f>IF(AND('Mapa final'!$AA$22="Baja",'Mapa final'!$AC$22="Mayor"),CONCATENATE("R4C",'Mapa final'!$Q$22),"")</f>
        <v/>
      </c>
      <c r="AH39" s="55" t="str">
        <f ca="1">IF(AND('Mapa final'!$AA$17="Baja",'Mapa final'!$AC$17="Catastrófico"),CONCATENATE("R4C",'Mapa final'!$Q$17),"")</f>
        <v/>
      </c>
      <c r="AI39" s="56" t="str">
        <f>IF(AND('Mapa final'!$AA$18="Baja",'Mapa final'!$AC$18="Catastrófico"),CONCATENATE("R4C",'Mapa final'!$Q$18),"")</f>
        <v/>
      </c>
      <c r="AJ39" s="56" t="str">
        <f>IF(AND('Mapa final'!$AA$19="Baja",'Mapa final'!$AC$19="Catastrófico"),CONCATENATE("R4C",'Mapa final'!$Q$19),"")</f>
        <v/>
      </c>
      <c r="AK39" s="56" t="str">
        <f>IF(AND('Mapa final'!$AA$20="Baja",'Mapa final'!$AC$20="Catastrófico"),CONCATENATE("R4C",'Mapa final'!$Q$20),"")</f>
        <v/>
      </c>
      <c r="AL39" s="56" t="str">
        <f>IF(AND('Mapa final'!$AA$21="Baja",'Mapa final'!$AC$21="Catastrófico"),CONCATENATE("R4C",'Mapa final'!$Q$21),"")</f>
        <v/>
      </c>
      <c r="AM39" s="57" t="str">
        <f>IF(AND('Mapa final'!$AA$22="Baja",'Mapa final'!$AC$22="Catastrófico"),CONCATENATE("R4C",'Mapa final'!$Q$22),"")</f>
        <v/>
      </c>
      <c r="AN39" s="83"/>
      <c r="AO39" s="376"/>
      <c r="AP39" s="377"/>
      <c r="AQ39" s="377"/>
      <c r="AR39" s="377"/>
      <c r="AS39" s="377"/>
      <c r="AT39" s="37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35">
      <c r="A40" s="83"/>
      <c r="B40" s="304"/>
      <c r="C40" s="304"/>
      <c r="D40" s="305"/>
      <c r="E40" s="345"/>
      <c r="F40" s="346"/>
      <c r="G40" s="346"/>
      <c r="H40" s="346"/>
      <c r="I40" s="346"/>
      <c r="J40" s="76" t="str">
        <f ca="1">IF(AND('Mapa final'!$AA$23="Baja",'Mapa final'!$AC$23="Leve"),CONCATENATE("R5C",'Mapa final'!$Q$23),"")</f>
        <v/>
      </c>
      <c r="K40" s="77" t="str">
        <f>IF(AND('Mapa final'!$AA$24="Baja",'Mapa final'!$AC$24="Leve"),CONCATENATE("R5C",'Mapa final'!$Q$24),"")</f>
        <v/>
      </c>
      <c r="L40" s="77" t="str">
        <f>IF(AND('Mapa final'!$AA$25="Baja",'Mapa final'!$AC$25="Leve"),CONCATENATE("R5C",'Mapa final'!$Q$25),"")</f>
        <v/>
      </c>
      <c r="M40" s="77" t="str">
        <f>IF(AND('Mapa final'!$AA$26="Baja",'Mapa final'!$AC$26="Leve"),CONCATENATE("R5C",'Mapa final'!$Q$26),"")</f>
        <v/>
      </c>
      <c r="N40" s="77" t="str">
        <f>IF(AND('Mapa final'!$AA$27="Baja",'Mapa final'!$AC$27="Leve"),CONCATENATE("R5C",'Mapa final'!$Q$27),"")</f>
        <v/>
      </c>
      <c r="O40" s="78" t="str">
        <f>IF(AND('Mapa final'!$AA$28="Baja",'Mapa final'!$AC$28="Leve"),CONCATENATE("R5C",'Mapa final'!$Q$28),"")</f>
        <v/>
      </c>
      <c r="P40" s="67" t="str">
        <f ca="1">IF(AND('Mapa final'!$AA$23="Baja",'Mapa final'!$AC$23="Menor"),CONCATENATE("R5C",'Mapa final'!$Q$23),"")</f>
        <v>R5C1</v>
      </c>
      <c r="Q40" s="68" t="str">
        <f>IF(AND('Mapa final'!$AA$24="Baja",'Mapa final'!$AC$24="Menor"),CONCATENATE("R5C",'Mapa final'!$Q$24),"")</f>
        <v/>
      </c>
      <c r="R40" s="68" t="str">
        <f>IF(AND('Mapa final'!$AA$25="Baja",'Mapa final'!$AC$25="Menor"),CONCATENATE("R5C",'Mapa final'!$Q$25),"")</f>
        <v/>
      </c>
      <c r="S40" s="68" t="str">
        <f>IF(AND('Mapa final'!$AA$26="Baja",'Mapa final'!$AC$26="Menor"),CONCATENATE("R5C",'Mapa final'!$Q$26),"")</f>
        <v/>
      </c>
      <c r="T40" s="68" t="str">
        <f>IF(AND('Mapa final'!$AA$27="Baja",'Mapa final'!$AC$27="Menor"),CONCATENATE("R5C",'Mapa final'!$Q$27),"")</f>
        <v/>
      </c>
      <c r="U40" s="69" t="str">
        <f>IF(AND('Mapa final'!$AA$28="Baja",'Mapa final'!$AC$28="Menor"),CONCATENATE("R5C",'Mapa final'!$Q$28),"")</f>
        <v/>
      </c>
      <c r="V40" s="67" t="str">
        <f ca="1">IF(AND('Mapa final'!$AA$23="Baja",'Mapa final'!$AC$23="Moderado"),CONCATENATE("R5C",'Mapa final'!$Q$23),"")</f>
        <v/>
      </c>
      <c r="W40" s="68" t="str">
        <f>IF(AND('Mapa final'!$AA$24="Baja",'Mapa final'!$AC$24="Moderado"),CONCATENATE("R5C",'Mapa final'!$Q$24),"")</f>
        <v/>
      </c>
      <c r="X40" s="68" t="str">
        <f>IF(AND('Mapa final'!$AA$25="Baja",'Mapa final'!$AC$25="Moderado"),CONCATENATE("R5C",'Mapa final'!$Q$25),"")</f>
        <v/>
      </c>
      <c r="Y40" s="68" t="str">
        <f>IF(AND('Mapa final'!$AA$26="Baja",'Mapa final'!$AC$26="Moderado"),CONCATENATE("R5C",'Mapa final'!$Q$26),"")</f>
        <v/>
      </c>
      <c r="Z40" s="68" t="str">
        <f>IF(AND('Mapa final'!$AA$27="Baja",'Mapa final'!$AC$27="Moderado"),CONCATENATE("R5C",'Mapa final'!$Q$27),"")</f>
        <v/>
      </c>
      <c r="AA40" s="69" t="str">
        <f>IF(AND('Mapa final'!$AA$28="Baja",'Mapa final'!$AC$28="Moderado"),CONCATENATE("R5C",'Mapa final'!$Q$28),"")</f>
        <v/>
      </c>
      <c r="AB40" s="52" t="str">
        <f ca="1">IF(AND('Mapa final'!$AA$23="Baja",'Mapa final'!$AC$23="Mayor"),CONCATENATE("R5C",'Mapa final'!$Q$23),"")</f>
        <v/>
      </c>
      <c r="AC40" s="53" t="str">
        <f>IF(AND('Mapa final'!$AA$24="Baja",'Mapa final'!$AC$24="Mayor"),CONCATENATE("R5C",'Mapa final'!$Q$24),"")</f>
        <v/>
      </c>
      <c r="AD40" s="53" t="str">
        <f>IF(AND('Mapa final'!$AA$25="Baja",'Mapa final'!$AC$25="Mayor"),CONCATENATE("R5C",'Mapa final'!$Q$25),"")</f>
        <v/>
      </c>
      <c r="AE40" s="53" t="str">
        <f>IF(AND('Mapa final'!$AA$26="Baja",'Mapa final'!$AC$26="Mayor"),CONCATENATE("R5C",'Mapa final'!$Q$26),"")</f>
        <v/>
      </c>
      <c r="AF40" s="53" t="str">
        <f>IF(AND('Mapa final'!$AA$27="Baja",'Mapa final'!$AC$27="Mayor"),CONCATENATE("R5C",'Mapa final'!$Q$27),"")</f>
        <v/>
      </c>
      <c r="AG40" s="54" t="str">
        <f>IF(AND('Mapa final'!$AA$28="Baja",'Mapa final'!$AC$28="Mayor"),CONCATENATE("R5C",'Mapa final'!$Q$28),"")</f>
        <v/>
      </c>
      <c r="AH40" s="55" t="str">
        <f ca="1">IF(AND('Mapa final'!$AA$23="Baja",'Mapa final'!$AC$23="Catastrófico"),CONCATENATE("R5C",'Mapa final'!$Q$23),"")</f>
        <v/>
      </c>
      <c r="AI40" s="56" t="str">
        <f>IF(AND('Mapa final'!$AA$24="Baja",'Mapa final'!$AC$24="Catastrófico"),CONCATENATE("R5C",'Mapa final'!$Q$24),"")</f>
        <v/>
      </c>
      <c r="AJ40" s="56" t="str">
        <f>IF(AND('Mapa final'!$AA$25="Baja",'Mapa final'!$AC$25="Catastrófico"),CONCATENATE("R5C",'Mapa final'!$Q$25),"")</f>
        <v/>
      </c>
      <c r="AK40" s="56" t="str">
        <f>IF(AND('Mapa final'!$AA$26="Baja",'Mapa final'!$AC$26="Catastrófico"),CONCATENATE("R5C",'Mapa final'!$Q$26),"")</f>
        <v/>
      </c>
      <c r="AL40" s="56" t="str">
        <f>IF(AND('Mapa final'!$AA$27="Baja",'Mapa final'!$AC$27="Catastrófico"),CONCATENATE("R5C",'Mapa final'!$Q$27),"")</f>
        <v/>
      </c>
      <c r="AM40" s="57" t="str">
        <f>IF(AND('Mapa final'!$AA$28="Baja",'Mapa final'!$AC$28="Catastrófico"),CONCATENATE("R5C",'Mapa final'!$Q$28),"")</f>
        <v/>
      </c>
      <c r="AN40" s="83"/>
      <c r="AO40" s="376"/>
      <c r="AP40" s="377"/>
      <c r="AQ40" s="377"/>
      <c r="AR40" s="377"/>
      <c r="AS40" s="377"/>
      <c r="AT40" s="37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35">
      <c r="A41" s="83"/>
      <c r="B41" s="304"/>
      <c r="C41" s="304"/>
      <c r="D41" s="305"/>
      <c r="E41" s="345"/>
      <c r="F41" s="346"/>
      <c r="G41" s="346"/>
      <c r="H41" s="346"/>
      <c r="I41" s="346"/>
      <c r="J41" s="76" t="str">
        <f ca="1">IF(AND('Mapa final'!$AA$29="Baja",'Mapa final'!$AC$29="Leve"),CONCATENATE("R6C",'Mapa final'!$Q$29),"")</f>
        <v/>
      </c>
      <c r="K41" s="77" t="str">
        <f>IF(AND('Mapa final'!$AA$30="Baja",'Mapa final'!$AC$30="Leve"),CONCATENATE("R6C",'Mapa final'!$Q$30),"")</f>
        <v/>
      </c>
      <c r="L41" s="77" t="str">
        <f>IF(AND('Mapa final'!$AA$31="Baja",'Mapa final'!$AC$31="Leve"),CONCATENATE("R6C",'Mapa final'!$Q$31),"")</f>
        <v/>
      </c>
      <c r="M41" s="77" t="str">
        <f>IF(AND('Mapa final'!$AA$32="Baja",'Mapa final'!$AC$32="Leve"),CONCATENATE("R6C",'Mapa final'!$Q$32),"")</f>
        <v/>
      </c>
      <c r="N41" s="77" t="str">
        <f>IF(AND('Mapa final'!$AA$33="Baja",'Mapa final'!$AC$33="Leve"),CONCATENATE("R6C",'Mapa final'!$Q$33),"")</f>
        <v/>
      </c>
      <c r="O41" s="78" t="str">
        <f>IF(AND('Mapa final'!$AA$34="Baja",'Mapa final'!$AC$34="Leve"),CONCATENATE("R6C",'Mapa final'!$Q$34),"")</f>
        <v/>
      </c>
      <c r="P41" s="67" t="str">
        <f ca="1">IF(AND('Mapa final'!$AA$29="Baja",'Mapa final'!$AC$29="Menor"),CONCATENATE("R6C",'Mapa final'!$Q$29),"")</f>
        <v/>
      </c>
      <c r="Q41" s="68" t="str">
        <f>IF(AND('Mapa final'!$AA$30="Baja",'Mapa final'!$AC$30="Menor"),CONCATENATE("R6C",'Mapa final'!$Q$30),"")</f>
        <v/>
      </c>
      <c r="R41" s="68" t="str">
        <f>IF(AND('Mapa final'!$AA$31="Baja",'Mapa final'!$AC$31="Menor"),CONCATENATE("R6C",'Mapa final'!$Q$31),"")</f>
        <v/>
      </c>
      <c r="S41" s="68" t="str">
        <f>IF(AND('Mapa final'!$AA$32="Baja",'Mapa final'!$AC$32="Menor"),CONCATENATE("R6C",'Mapa final'!$Q$32),"")</f>
        <v/>
      </c>
      <c r="T41" s="68" t="str">
        <f>IF(AND('Mapa final'!$AA$33="Baja",'Mapa final'!$AC$33="Menor"),CONCATENATE("R6C",'Mapa final'!$Q$33),"")</f>
        <v/>
      </c>
      <c r="U41" s="69" t="str">
        <f>IF(AND('Mapa final'!$AA$34="Baja",'Mapa final'!$AC$34="Menor"),CONCATENATE("R6C",'Mapa final'!$Q$34),"")</f>
        <v/>
      </c>
      <c r="V41" s="67" t="str">
        <f ca="1">IF(AND('Mapa final'!$AA$29="Baja",'Mapa final'!$AC$29="Moderado"),CONCATENATE("R6C",'Mapa final'!$Q$29),"")</f>
        <v>R6C1</v>
      </c>
      <c r="W41" s="68" t="str">
        <f>IF(AND('Mapa final'!$AA$30="Baja",'Mapa final'!$AC$30="Moderado"),CONCATENATE("R6C",'Mapa final'!$Q$30),"")</f>
        <v/>
      </c>
      <c r="X41" s="68" t="str">
        <f>IF(AND('Mapa final'!$AA$31="Baja",'Mapa final'!$AC$31="Moderado"),CONCATENATE("R6C",'Mapa final'!$Q$31),"")</f>
        <v/>
      </c>
      <c r="Y41" s="68" t="str">
        <f>IF(AND('Mapa final'!$AA$32="Baja",'Mapa final'!$AC$32="Moderado"),CONCATENATE("R6C",'Mapa final'!$Q$32),"")</f>
        <v/>
      </c>
      <c r="Z41" s="68" t="str">
        <f>IF(AND('Mapa final'!$AA$33="Baja",'Mapa final'!$AC$33="Moderado"),CONCATENATE("R6C",'Mapa final'!$Q$33),"")</f>
        <v/>
      </c>
      <c r="AA41" s="69" t="str">
        <f>IF(AND('Mapa final'!$AA$34="Baja",'Mapa final'!$AC$34="Moderado"),CONCATENATE("R6C",'Mapa final'!$Q$34),"")</f>
        <v/>
      </c>
      <c r="AB41" s="52" t="str">
        <f ca="1">IF(AND('Mapa final'!$AA$29="Baja",'Mapa final'!$AC$29="Mayor"),CONCATENATE("R6C",'Mapa final'!$Q$29),"")</f>
        <v/>
      </c>
      <c r="AC41" s="53" t="str">
        <f>IF(AND('Mapa final'!$AA$30="Baja",'Mapa final'!$AC$30="Mayor"),CONCATENATE("R6C",'Mapa final'!$Q$30),"")</f>
        <v/>
      </c>
      <c r="AD41" s="53" t="str">
        <f>IF(AND('Mapa final'!$AA$31="Baja",'Mapa final'!$AC$31="Mayor"),CONCATENATE("R6C",'Mapa final'!$Q$31),"")</f>
        <v/>
      </c>
      <c r="AE41" s="53" t="str">
        <f>IF(AND('Mapa final'!$AA$32="Baja",'Mapa final'!$AC$32="Mayor"),CONCATENATE("R6C",'Mapa final'!$Q$32),"")</f>
        <v/>
      </c>
      <c r="AF41" s="53" t="str">
        <f>IF(AND('Mapa final'!$AA$33="Baja",'Mapa final'!$AC$33="Mayor"),CONCATENATE("R6C",'Mapa final'!$Q$33),"")</f>
        <v/>
      </c>
      <c r="AG41" s="54" t="str">
        <f>IF(AND('Mapa final'!$AA$34="Baja",'Mapa final'!$AC$34="Mayor"),CONCATENATE("R6C",'Mapa final'!$Q$34),"")</f>
        <v/>
      </c>
      <c r="AH41" s="55" t="str">
        <f ca="1">IF(AND('Mapa final'!$AA$29="Baja",'Mapa final'!$AC$29="Catastrófico"),CONCATENATE("R6C",'Mapa final'!$Q$29),"")</f>
        <v/>
      </c>
      <c r="AI41" s="56" t="str">
        <f>IF(AND('Mapa final'!$AA$30="Baja",'Mapa final'!$AC$30="Catastrófico"),CONCATENATE("R6C",'Mapa final'!$Q$30),"")</f>
        <v/>
      </c>
      <c r="AJ41" s="56" t="str">
        <f>IF(AND('Mapa final'!$AA$31="Baja",'Mapa final'!$AC$31="Catastrófico"),CONCATENATE("R6C",'Mapa final'!$Q$31),"")</f>
        <v/>
      </c>
      <c r="AK41" s="56" t="str">
        <f>IF(AND('Mapa final'!$AA$32="Baja",'Mapa final'!$AC$32="Catastrófico"),CONCATENATE("R6C",'Mapa final'!$Q$32),"")</f>
        <v/>
      </c>
      <c r="AL41" s="56" t="str">
        <f>IF(AND('Mapa final'!$AA$33="Baja",'Mapa final'!$AC$33="Catastrófico"),CONCATENATE("R6C",'Mapa final'!$Q$33),"")</f>
        <v/>
      </c>
      <c r="AM41" s="57" t="str">
        <f>IF(AND('Mapa final'!$AA$34="Baja",'Mapa final'!$AC$34="Catastrófico"),CONCATENATE("R6C",'Mapa final'!$Q$34),"")</f>
        <v/>
      </c>
      <c r="AN41" s="83"/>
      <c r="AO41" s="376"/>
      <c r="AP41" s="377"/>
      <c r="AQ41" s="377"/>
      <c r="AR41" s="377"/>
      <c r="AS41" s="377"/>
      <c r="AT41" s="37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35">
      <c r="A42" s="83"/>
      <c r="B42" s="304"/>
      <c r="C42" s="304"/>
      <c r="D42" s="305"/>
      <c r="E42" s="345"/>
      <c r="F42" s="346"/>
      <c r="G42" s="346"/>
      <c r="H42" s="346"/>
      <c r="I42" s="346"/>
      <c r="J42" s="76" t="str">
        <f ca="1">IF(AND('Mapa final'!$AA$35="Baja",'Mapa final'!$AC$35="Leve"),CONCATENATE("R7C",'Mapa final'!$Q$35),"")</f>
        <v/>
      </c>
      <c r="K42" s="77" t="str">
        <f>IF(AND('Mapa final'!$AA$36="Baja",'Mapa final'!$AC$36="Leve"),CONCATENATE("R7C",'Mapa final'!$Q$36),"")</f>
        <v/>
      </c>
      <c r="L42" s="77" t="str">
        <f>IF(AND('Mapa final'!$AA$37="Baja",'Mapa final'!$AC$37="Leve"),CONCATENATE("R7C",'Mapa final'!$Q$37),"")</f>
        <v/>
      </c>
      <c r="M42" s="77" t="str">
        <f>IF(AND('Mapa final'!$AA$38="Baja",'Mapa final'!$AC$38="Leve"),CONCATENATE("R7C",'Mapa final'!$Q$38),"")</f>
        <v/>
      </c>
      <c r="N42" s="77" t="str">
        <f>IF(AND('Mapa final'!$AA$39="Baja",'Mapa final'!$AC$39="Leve"),CONCATENATE("R7C",'Mapa final'!$Q$39),"")</f>
        <v/>
      </c>
      <c r="O42" s="78" t="str">
        <f>IF(AND('Mapa final'!$AA$40="Baja",'Mapa final'!$AC$40="Leve"),CONCATENATE("R7C",'Mapa final'!$Q$40),"")</f>
        <v/>
      </c>
      <c r="P42" s="67" t="str">
        <f ca="1">IF(AND('Mapa final'!$AA$35="Baja",'Mapa final'!$AC$35="Menor"),CONCATENATE("R7C",'Mapa final'!$Q$35),"")</f>
        <v/>
      </c>
      <c r="Q42" s="68" t="str">
        <f>IF(AND('Mapa final'!$AA$36="Baja",'Mapa final'!$AC$36="Menor"),CONCATENATE("R7C",'Mapa final'!$Q$36),"")</f>
        <v/>
      </c>
      <c r="R42" s="68" t="str">
        <f>IF(AND('Mapa final'!$AA$37="Baja",'Mapa final'!$AC$37="Menor"),CONCATENATE("R7C",'Mapa final'!$Q$37),"")</f>
        <v/>
      </c>
      <c r="S42" s="68" t="str">
        <f>IF(AND('Mapa final'!$AA$38="Baja",'Mapa final'!$AC$38="Menor"),CONCATENATE("R7C",'Mapa final'!$Q$38),"")</f>
        <v/>
      </c>
      <c r="T42" s="68" t="str">
        <f>IF(AND('Mapa final'!$AA$39="Baja",'Mapa final'!$AC$39="Menor"),CONCATENATE("R7C",'Mapa final'!$Q$39),"")</f>
        <v/>
      </c>
      <c r="U42" s="69" t="str">
        <f>IF(AND('Mapa final'!$AA$40="Baja",'Mapa final'!$AC$40="Menor"),CONCATENATE("R7C",'Mapa final'!$Q$40),"")</f>
        <v/>
      </c>
      <c r="V42" s="67" t="str">
        <f ca="1">IF(AND('Mapa final'!$AA$35="Baja",'Mapa final'!$AC$35="Moderado"),CONCATENATE("R7C",'Mapa final'!$Q$35),"")</f>
        <v>R7C1</v>
      </c>
      <c r="W42" s="68" t="str">
        <f>IF(AND('Mapa final'!$AA$36="Baja",'Mapa final'!$AC$36="Moderado"),CONCATENATE("R7C",'Mapa final'!$Q$36),"")</f>
        <v/>
      </c>
      <c r="X42" s="68" t="str">
        <f>IF(AND('Mapa final'!$AA$37="Baja",'Mapa final'!$AC$37="Moderado"),CONCATENATE("R7C",'Mapa final'!$Q$37),"")</f>
        <v/>
      </c>
      <c r="Y42" s="68" t="str">
        <f>IF(AND('Mapa final'!$AA$38="Baja",'Mapa final'!$AC$38="Moderado"),CONCATENATE("R7C",'Mapa final'!$Q$38),"")</f>
        <v/>
      </c>
      <c r="Z42" s="68" t="str">
        <f>IF(AND('Mapa final'!$AA$39="Baja",'Mapa final'!$AC$39="Moderado"),CONCATENATE("R7C",'Mapa final'!$Q$39),"")</f>
        <v/>
      </c>
      <c r="AA42" s="69" t="str">
        <f>IF(AND('Mapa final'!$AA$40="Baja",'Mapa final'!$AC$40="Moderado"),CONCATENATE("R7C",'Mapa final'!$Q$40),"")</f>
        <v/>
      </c>
      <c r="AB42" s="52" t="str">
        <f ca="1">IF(AND('Mapa final'!$AA$35="Baja",'Mapa final'!$AC$35="Mayor"),CONCATENATE("R7C",'Mapa final'!$Q$35),"")</f>
        <v/>
      </c>
      <c r="AC42" s="53" t="str">
        <f>IF(AND('Mapa final'!$AA$36="Baja",'Mapa final'!$AC$36="Mayor"),CONCATENATE("R7C",'Mapa final'!$Q$36),"")</f>
        <v/>
      </c>
      <c r="AD42" s="53" t="str">
        <f>IF(AND('Mapa final'!$AA$37="Baja",'Mapa final'!$AC$37="Mayor"),CONCATENATE("R7C",'Mapa final'!$Q$37),"")</f>
        <v/>
      </c>
      <c r="AE42" s="53" t="str">
        <f>IF(AND('Mapa final'!$AA$38="Baja",'Mapa final'!$AC$38="Mayor"),CONCATENATE("R7C",'Mapa final'!$Q$38),"")</f>
        <v/>
      </c>
      <c r="AF42" s="53" t="str">
        <f>IF(AND('Mapa final'!$AA$39="Baja",'Mapa final'!$AC$39="Mayor"),CONCATENATE("R7C",'Mapa final'!$Q$39),"")</f>
        <v/>
      </c>
      <c r="AG42" s="54" t="str">
        <f>IF(AND('Mapa final'!$AA$40="Baja",'Mapa final'!$AC$40="Mayor"),CONCATENATE("R7C",'Mapa final'!$Q$40),"")</f>
        <v/>
      </c>
      <c r="AH42" s="55" t="str">
        <f ca="1">IF(AND('Mapa final'!$AA$35="Baja",'Mapa final'!$AC$35="Catastrófico"),CONCATENATE("R7C",'Mapa final'!$Q$35),"")</f>
        <v/>
      </c>
      <c r="AI42" s="56" t="str">
        <f>IF(AND('Mapa final'!$AA$36="Baja",'Mapa final'!$AC$36="Catastrófico"),CONCATENATE("R7C",'Mapa final'!$Q$36),"")</f>
        <v/>
      </c>
      <c r="AJ42" s="56" t="str">
        <f>IF(AND('Mapa final'!$AA$37="Baja",'Mapa final'!$AC$37="Catastrófico"),CONCATENATE("R7C",'Mapa final'!$Q$37),"")</f>
        <v/>
      </c>
      <c r="AK42" s="56" t="str">
        <f>IF(AND('Mapa final'!$AA$38="Baja",'Mapa final'!$AC$38="Catastrófico"),CONCATENATE("R7C",'Mapa final'!$Q$38),"")</f>
        <v/>
      </c>
      <c r="AL42" s="56" t="str">
        <f>IF(AND('Mapa final'!$AA$39="Baja",'Mapa final'!$AC$39="Catastrófico"),CONCATENATE("R7C",'Mapa final'!$Q$39),"")</f>
        <v/>
      </c>
      <c r="AM42" s="57" t="str">
        <f>IF(AND('Mapa final'!$AA$40="Baja",'Mapa final'!$AC$40="Catastrófico"),CONCATENATE("R7C",'Mapa final'!$Q$40),"")</f>
        <v/>
      </c>
      <c r="AN42" s="83"/>
      <c r="AO42" s="376"/>
      <c r="AP42" s="377"/>
      <c r="AQ42" s="377"/>
      <c r="AR42" s="377"/>
      <c r="AS42" s="377"/>
      <c r="AT42" s="37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35">
      <c r="A43" s="83"/>
      <c r="B43" s="304"/>
      <c r="C43" s="304"/>
      <c r="D43" s="305"/>
      <c r="E43" s="345"/>
      <c r="F43" s="346"/>
      <c r="G43" s="346"/>
      <c r="H43" s="346"/>
      <c r="I43" s="346"/>
      <c r="J43" s="76" t="str">
        <f>IF(AND('Mapa final'!$AA$41="Baja",'Mapa final'!$AC$41="Leve"),CONCATENATE("R8C",'Mapa final'!$Q$41),"")</f>
        <v/>
      </c>
      <c r="K43" s="77" t="str">
        <f>IF(AND('Mapa final'!$AA$42="Baja",'Mapa final'!$AC$42="Leve"),CONCATENATE("R8C",'Mapa final'!$Q$42),"")</f>
        <v/>
      </c>
      <c r="L43" s="77" t="str">
        <f>IF(AND('Mapa final'!$AA$43="Baja",'Mapa final'!$AC$43="Leve"),CONCATENATE("R8C",'Mapa final'!$Q$43),"")</f>
        <v/>
      </c>
      <c r="M43" s="77" t="str">
        <f>IF(AND('Mapa final'!$AA$44="Baja",'Mapa final'!$AC$44="Leve"),CONCATENATE("R8C",'Mapa final'!$Q$44),"")</f>
        <v/>
      </c>
      <c r="N43" s="77" t="str">
        <f>IF(AND('Mapa final'!$AA$45="Baja",'Mapa final'!$AC$45="Leve"),CONCATENATE("R8C",'Mapa final'!$Q$45),"")</f>
        <v/>
      </c>
      <c r="O43" s="78" t="str">
        <f>IF(AND('Mapa final'!$AA$46="Baja",'Mapa final'!$AC$46="Leve"),CONCATENATE("R8C",'Mapa final'!$Q$46),"")</f>
        <v/>
      </c>
      <c r="P43" s="67" t="str">
        <f>IF(AND('Mapa final'!$AA$41="Baja",'Mapa final'!$AC$41="Menor"),CONCATENATE("R8C",'Mapa final'!$Q$41),"")</f>
        <v/>
      </c>
      <c r="Q43" s="68" t="str">
        <f>IF(AND('Mapa final'!$AA$42="Baja",'Mapa final'!$AC$42="Menor"),CONCATENATE("R8C",'Mapa final'!$Q$42),"")</f>
        <v/>
      </c>
      <c r="R43" s="68" t="str">
        <f>IF(AND('Mapa final'!$AA$43="Baja",'Mapa final'!$AC$43="Menor"),CONCATENATE("R8C",'Mapa final'!$Q$43),"")</f>
        <v/>
      </c>
      <c r="S43" s="68" t="str">
        <f>IF(AND('Mapa final'!$AA$44="Baja",'Mapa final'!$AC$44="Menor"),CONCATENATE("R8C",'Mapa final'!$Q$44),"")</f>
        <v/>
      </c>
      <c r="T43" s="68" t="str">
        <f>IF(AND('Mapa final'!$AA$45="Baja",'Mapa final'!$AC$45="Menor"),CONCATENATE("R8C",'Mapa final'!$Q$45),"")</f>
        <v/>
      </c>
      <c r="U43" s="69" t="str">
        <f>IF(AND('Mapa final'!$AA$46="Baja",'Mapa final'!$AC$46="Menor"),CONCATENATE("R8C",'Mapa final'!$Q$46),"")</f>
        <v/>
      </c>
      <c r="V43" s="67" t="str">
        <f>IF(AND('Mapa final'!$AA$41="Baja",'Mapa final'!$AC$41="Moderado"),CONCATENATE("R8C",'Mapa final'!$Q$41),"")</f>
        <v/>
      </c>
      <c r="W43" s="68" t="str">
        <f>IF(AND('Mapa final'!$AA$42="Baja",'Mapa final'!$AC$42="Moderado"),CONCATENATE("R8C",'Mapa final'!$Q$42),"")</f>
        <v/>
      </c>
      <c r="X43" s="68" t="str">
        <f>IF(AND('Mapa final'!$AA$43="Baja",'Mapa final'!$AC$43="Moderado"),CONCATENATE("R8C",'Mapa final'!$Q$43),"")</f>
        <v/>
      </c>
      <c r="Y43" s="68" t="str">
        <f>IF(AND('Mapa final'!$AA$44="Baja",'Mapa final'!$AC$44="Moderado"),CONCATENATE("R8C",'Mapa final'!$Q$44),"")</f>
        <v/>
      </c>
      <c r="Z43" s="68" t="str">
        <f>IF(AND('Mapa final'!$AA$45="Baja",'Mapa final'!$AC$45="Moderado"),CONCATENATE("R8C",'Mapa final'!$Q$45),"")</f>
        <v/>
      </c>
      <c r="AA43" s="69" t="str">
        <f>IF(AND('Mapa final'!$AA$46="Baja",'Mapa final'!$AC$46="Moderado"),CONCATENATE("R8C",'Mapa final'!$Q$46),"")</f>
        <v/>
      </c>
      <c r="AB43" s="52" t="str">
        <f>IF(AND('Mapa final'!$AA$41="Baja",'Mapa final'!$AC$41="Mayor"),CONCATENATE("R8C",'Mapa final'!$Q$41),"")</f>
        <v/>
      </c>
      <c r="AC43" s="53" t="str">
        <f>IF(AND('Mapa final'!$AA$42="Baja",'Mapa final'!$AC$42="Mayor"),CONCATENATE("R8C",'Mapa final'!$Q$42),"")</f>
        <v/>
      </c>
      <c r="AD43" s="53" t="str">
        <f>IF(AND('Mapa final'!$AA$43="Baja",'Mapa final'!$AC$43="Mayor"),CONCATENATE("R8C",'Mapa final'!$Q$43),"")</f>
        <v/>
      </c>
      <c r="AE43" s="53" t="str">
        <f>IF(AND('Mapa final'!$AA$44="Baja",'Mapa final'!$AC$44="Mayor"),CONCATENATE("R8C",'Mapa final'!$Q$44),"")</f>
        <v/>
      </c>
      <c r="AF43" s="53" t="str">
        <f>IF(AND('Mapa final'!$AA$45="Baja",'Mapa final'!$AC$45="Mayor"),CONCATENATE("R8C",'Mapa final'!$Q$45),"")</f>
        <v/>
      </c>
      <c r="AG43" s="54" t="str">
        <f>IF(AND('Mapa final'!$AA$46="Baja",'Mapa final'!$AC$46="Mayor"),CONCATENATE("R8C",'Mapa final'!$Q$46),"")</f>
        <v/>
      </c>
      <c r="AH43" s="55" t="str">
        <f>IF(AND('Mapa final'!$AA$41="Baja",'Mapa final'!$AC$41="Catastrófico"),CONCATENATE("R8C",'Mapa final'!$Q$41),"")</f>
        <v/>
      </c>
      <c r="AI43" s="56" t="str">
        <f>IF(AND('Mapa final'!$AA$42="Baja",'Mapa final'!$AC$42="Catastrófico"),CONCATENATE("R8C",'Mapa final'!$Q$42),"")</f>
        <v/>
      </c>
      <c r="AJ43" s="56" t="str">
        <f>IF(AND('Mapa final'!$AA$43="Baja",'Mapa final'!$AC$43="Catastrófico"),CONCATENATE("R8C",'Mapa final'!$Q$43),"")</f>
        <v/>
      </c>
      <c r="AK43" s="56" t="str">
        <f>IF(AND('Mapa final'!$AA$44="Baja",'Mapa final'!$AC$44="Catastrófico"),CONCATENATE("R8C",'Mapa final'!$Q$44),"")</f>
        <v/>
      </c>
      <c r="AL43" s="56" t="str">
        <f>IF(AND('Mapa final'!$AA$45="Baja",'Mapa final'!$AC$45="Catastrófico"),CONCATENATE("R8C",'Mapa final'!$Q$45),"")</f>
        <v/>
      </c>
      <c r="AM43" s="57" t="str">
        <f>IF(AND('Mapa final'!$AA$46="Baja",'Mapa final'!$AC$46="Catastrófico"),CONCATENATE("R8C",'Mapa final'!$Q$46),"")</f>
        <v/>
      </c>
      <c r="AN43" s="83"/>
      <c r="AO43" s="376"/>
      <c r="AP43" s="377"/>
      <c r="AQ43" s="377"/>
      <c r="AR43" s="377"/>
      <c r="AS43" s="377"/>
      <c r="AT43" s="37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35">
      <c r="A44" s="83"/>
      <c r="B44" s="304"/>
      <c r="C44" s="304"/>
      <c r="D44" s="305"/>
      <c r="E44" s="345"/>
      <c r="F44" s="346"/>
      <c r="G44" s="346"/>
      <c r="H44" s="346"/>
      <c r="I44" s="346"/>
      <c r="J44" s="76" t="str">
        <f>IF(AND('Mapa final'!$AA$47="Baja",'Mapa final'!$AC$47="Leve"),CONCATENATE("R9C",'Mapa final'!$Q$47),"")</f>
        <v/>
      </c>
      <c r="K44" s="77" t="str">
        <f>IF(AND('Mapa final'!$AA$48="Baja",'Mapa final'!$AC$48="Leve"),CONCATENATE("R9C",'Mapa final'!$Q$48),"")</f>
        <v/>
      </c>
      <c r="L44" s="77" t="str">
        <f>IF(AND('Mapa final'!$AA$49="Baja",'Mapa final'!$AC$49="Leve"),CONCATENATE("R9C",'Mapa final'!$Q$49),"")</f>
        <v/>
      </c>
      <c r="M44" s="77" t="str">
        <f>IF(AND('Mapa final'!$AA$50="Baja",'Mapa final'!$AC$50="Leve"),CONCATENATE("R9C",'Mapa final'!$Q$50),"")</f>
        <v/>
      </c>
      <c r="N44" s="77" t="str">
        <f>IF(AND('Mapa final'!$AA$51="Baja",'Mapa final'!$AC$51="Leve"),CONCATENATE("R9C",'Mapa final'!$Q$51),"")</f>
        <v/>
      </c>
      <c r="O44" s="78" t="str">
        <f>IF(AND('Mapa final'!$AA$52="Baja",'Mapa final'!$AC$52="Leve"),CONCATENATE("R9C",'Mapa final'!$Q$52),"")</f>
        <v/>
      </c>
      <c r="P44" s="67" t="str">
        <f>IF(AND('Mapa final'!$AA$47="Baja",'Mapa final'!$AC$47="Menor"),CONCATENATE("R9C",'Mapa final'!$Q$47),"")</f>
        <v/>
      </c>
      <c r="Q44" s="68" t="str">
        <f>IF(AND('Mapa final'!$AA$48="Baja",'Mapa final'!$AC$48="Menor"),CONCATENATE("R9C",'Mapa final'!$Q$48),"")</f>
        <v/>
      </c>
      <c r="R44" s="68" t="str">
        <f>IF(AND('Mapa final'!$AA$49="Baja",'Mapa final'!$AC$49="Menor"),CONCATENATE("R9C",'Mapa final'!$Q$49),"")</f>
        <v/>
      </c>
      <c r="S44" s="68" t="str">
        <f>IF(AND('Mapa final'!$AA$50="Baja",'Mapa final'!$AC$50="Menor"),CONCATENATE("R9C",'Mapa final'!$Q$50),"")</f>
        <v/>
      </c>
      <c r="T44" s="68" t="str">
        <f>IF(AND('Mapa final'!$AA$51="Baja",'Mapa final'!$AC$51="Menor"),CONCATENATE("R9C",'Mapa final'!$Q$51),"")</f>
        <v/>
      </c>
      <c r="U44" s="69" t="str">
        <f>IF(AND('Mapa final'!$AA$52="Baja",'Mapa final'!$AC$52="Menor"),CONCATENATE("R9C",'Mapa final'!$Q$52),"")</f>
        <v/>
      </c>
      <c r="V44" s="67" t="str">
        <f>IF(AND('Mapa final'!$AA$47="Baja",'Mapa final'!$AC$47="Moderado"),CONCATENATE("R9C",'Mapa final'!$Q$47),"")</f>
        <v/>
      </c>
      <c r="W44" s="68" t="str">
        <f>IF(AND('Mapa final'!$AA$48="Baja",'Mapa final'!$AC$48="Moderado"),CONCATENATE("R9C",'Mapa final'!$Q$48),"")</f>
        <v/>
      </c>
      <c r="X44" s="68" t="str">
        <f>IF(AND('Mapa final'!$AA$49="Baja",'Mapa final'!$AC$49="Moderado"),CONCATENATE("R9C",'Mapa final'!$Q$49),"")</f>
        <v/>
      </c>
      <c r="Y44" s="68" t="str">
        <f>IF(AND('Mapa final'!$AA$50="Baja",'Mapa final'!$AC$50="Moderado"),CONCATENATE("R9C",'Mapa final'!$Q$50),"")</f>
        <v/>
      </c>
      <c r="Z44" s="68" t="str">
        <f>IF(AND('Mapa final'!$AA$51="Baja",'Mapa final'!$AC$51="Moderado"),CONCATENATE("R9C",'Mapa final'!$Q$51),"")</f>
        <v/>
      </c>
      <c r="AA44" s="69" t="str">
        <f>IF(AND('Mapa final'!$AA$52="Baja",'Mapa final'!$AC$52="Moderado"),CONCATENATE("R9C",'Mapa final'!$Q$52),"")</f>
        <v/>
      </c>
      <c r="AB44" s="52" t="str">
        <f>IF(AND('Mapa final'!$AA$47="Baja",'Mapa final'!$AC$47="Mayor"),CONCATENATE("R9C",'Mapa final'!$Q$47),"")</f>
        <v/>
      </c>
      <c r="AC44" s="53" t="str">
        <f>IF(AND('Mapa final'!$AA$48="Baja",'Mapa final'!$AC$48="Mayor"),CONCATENATE("R9C",'Mapa final'!$Q$48),"")</f>
        <v/>
      </c>
      <c r="AD44" s="53" t="str">
        <f>IF(AND('Mapa final'!$AA$49="Baja",'Mapa final'!$AC$49="Mayor"),CONCATENATE("R9C",'Mapa final'!$Q$49),"")</f>
        <v/>
      </c>
      <c r="AE44" s="53" t="str">
        <f>IF(AND('Mapa final'!$AA$50="Baja",'Mapa final'!$AC$50="Mayor"),CONCATENATE("R9C",'Mapa final'!$Q$50),"")</f>
        <v/>
      </c>
      <c r="AF44" s="53" t="str">
        <f>IF(AND('Mapa final'!$AA$51="Baja",'Mapa final'!$AC$51="Mayor"),CONCATENATE("R9C",'Mapa final'!$Q$51),"")</f>
        <v/>
      </c>
      <c r="AG44" s="54" t="str">
        <f>IF(AND('Mapa final'!$AA$52="Baja",'Mapa final'!$AC$52="Mayor"),CONCATENATE("R9C",'Mapa final'!$Q$52),"")</f>
        <v/>
      </c>
      <c r="AH44" s="55" t="str">
        <f>IF(AND('Mapa final'!$AA$47="Baja",'Mapa final'!$AC$47="Catastrófico"),CONCATENATE("R9C",'Mapa final'!$Q$47),"")</f>
        <v/>
      </c>
      <c r="AI44" s="56" t="str">
        <f>IF(AND('Mapa final'!$AA$48="Baja",'Mapa final'!$AC$48="Catastrófico"),CONCATENATE("R9C",'Mapa final'!$Q$48),"")</f>
        <v/>
      </c>
      <c r="AJ44" s="56" t="str">
        <f>IF(AND('Mapa final'!$AA$49="Baja",'Mapa final'!$AC$49="Catastrófico"),CONCATENATE("R9C",'Mapa final'!$Q$49),"")</f>
        <v/>
      </c>
      <c r="AK44" s="56" t="str">
        <f>IF(AND('Mapa final'!$AA$50="Baja",'Mapa final'!$AC$50="Catastrófico"),CONCATENATE("R9C",'Mapa final'!$Q$50),"")</f>
        <v/>
      </c>
      <c r="AL44" s="56" t="str">
        <f>IF(AND('Mapa final'!$AA$51="Baja",'Mapa final'!$AC$51="Catastrófico"),CONCATENATE("R9C",'Mapa final'!$Q$51),"")</f>
        <v/>
      </c>
      <c r="AM44" s="57" t="str">
        <f>IF(AND('Mapa final'!$AA$52="Baja",'Mapa final'!$AC$52="Catastrófico"),CONCATENATE("R9C",'Mapa final'!$Q$52),"")</f>
        <v/>
      </c>
      <c r="AN44" s="83"/>
      <c r="AO44" s="376"/>
      <c r="AP44" s="377"/>
      <c r="AQ44" s="377"/>
      <c r="AR44" s="377"/>
      <c r="AS44" s="377"/>
      <c r="AT44" s="37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4">
      <c r="A45" s="83"/>
      <c r="B45" s="304"/>
      <c r="C45" s="304"/>
      <c r="D45" s="305"/>
      <c r="E45" s="348"/>
      <c r="F45" s="349"/>
      <c r="G45" s="349"/>
      <c r="H45" s="349"/>
      <c r="I45" s="349"/>
      <c r="J45" s="79" t="str">
        <f>IF(AND('Mapa final'!$AA$53="Baja",'Mapa final'!$AC$53="Leve"),CONCATENATE("R10C",'Mapa final'!$Q$53),"")</f>
        <v/>
      </c>
      <c r="K45" s="80" t="str">
        <f>IF(AND('Mapa final'!$AA$54="Baja",'Mapa final'!$AC$54="Leve"),CONCATENATE("R10C",'Mapa final'!$Q$54),"")</f>
        <v/>
      </c>
      <c r="L45" s="80" t="str">
        <f>IF(AND('Mapa final'!$AA$55="Baja",'Mapa final'!$AC$55="Leve"),CONCATENATE("R10C",'Mapa final'!$Q$55),"")</f>
        <v/>
      </c>
      <c r="M45" s="80" t="str">
        <f>IF(AND('Mapa final'!$AA$56="Baja",'Mapa final'!$AC$56="Leve"),CONCATENATE("R10C",'Mapa final'!$Q$56),"")</f>
        <v/>
      </c>
      <c r="N45" s="80" t="str">
        <f>IF(AND('Mapa final'!$AA$57="Baja",'Mapa final'!$AC$57="Leve"),CONCATENATE("R10C",'Mapa final'!$Q$57),"")</f>
        <v/>
      </c>
      <c r="O45" s="81" t="str">
        <f>IF(AND('Mapa final'!$AA$58="Baja",'Mapa final'!$AC$58="Leve"),CONCATENATE("R10C",'Mapa final'!$Q$58),"")</f>
        <v/>
      </c>
      <c r="P45" s="67" t="str">
        <f>IF(AND('Mapa final'!$AA$53="Baja",'Mapa final'!$AC$53="Menor"),CONCATENATE("R10C",'Mapa final'!$Q$53),"")</f>
        <v/>
      </c>
      <c r="Q45" s="68" t="str">
        <f>IF(AND('Mapa final'!$AA$54="Baja",'Mapa final'!$AC$54="Menor"),CONCATENATE("R10C",'Mapa final'!$Q$54),"")</f>
        <v/>
      </c>
      <c r="R45" s="68" t="str">
        <f>IF(AND('Mapa final'!$AA$55="Baja",'Mapa final'!$AC$55="Menor"),CONCATENATE("R10C",'Mapa final'!$Q$55),"")</f>
        <v/>
      </c>
      <c r="S45" s="68" t="str">
        <f>IF(AND('Mapa final'!$AA$56="Baja",'Mapa final'!$AC$56="Menor"),CONCATENATE("R10C",'Mapa final'!$Q$56),"")</f>
        <v/>
      </c>
      <c r="T45" s="68" t="str">
        <f>IF(AND('Mapa final'!$AA$57="Baja",'Mapa final'!$AC$57="Menor"),CONCATENATE("R10C",'Mapa final'!$Q$57),"")</f>
        <v/>
      </c>
      <c r="U45" s="69" t="str">
        <f>IF(AND('Mapa final'!$AA$58="Baja",'Mapa final'!$AC$58="Menor"),CONCATENATE("R10C",'Mapa final'!$Q$58),"")</f>
        <v/>
      </c>
      <c r="V45" s="70" t="str">
        <f>IF(AND('Mapa final'!$AA$53="Baja",'Mapa final'!$AC$53="Moderado"),CONCATENATE("R10C",'Mapa final'!$Q$53),"")</f>
        <v/>
      </c>
      <c r="W45" s="71" t="str">
        <f>IF(AND('Mapa final'!$AA$54="Baja",'Mapa final'!$AC$54="Moderado"),CONCATENATE("R10C",'Mapa final'!$Q$54),"")</f>
        <v/>
      </c>
      <c r="X45" s="71" t="str">
        <f>IF(AND('Mapa final'!$AA$55="Baja",'Mapa final'!$AC$55="Moderado"),CONCATENATE("R10C",'Mapa final'!$Q$55),"")</f>
        <v/>
      </c>
      <c r="Y45" s="71" t="str">
        <f>IF(AND('Mapa final'!$AA$56="Baja",'Mapa final'!$AC$56="Moderado"),CONCATENATE("R10C",'Mapa final'!$Q$56),"")</f>
        <v/>
      </c>
      <c r="Z45" s="71" t="str">
        <f>IF(AND('Mapa final'!$AA$57="Baja",'Mapa final'!$AC$57="Moderado"),CONCATENATE("R10C",'Mapa final'!$Q$57),"")</f>
        <v/>
      </c>
      <c r="AA45" s="72" t="str">
        <f>IF(AND('Mapa final'!$AA$58="Baja",'Mapa final'!$AC$58="Moderado"),CONCATENATE("R10C",'Mapa final'!$Q$58),"")</f>
        <v/>
      </c>
      <c r="AB45" s="58" t="str">
        <f>IF(AND('Mapa final'!$AA$53="Baja",'Mapa final'!$AC$53="Mayor"),CONCATENATE("R10C",'Mapa final'!$Q$53),"")</f>
        <v/>
      </c>
      <c r="AC45" s="59" t="str">
        <f>IF(AND('Mapa final'!$AA$54="Baja",'Mapa final'!$AC$54="Mayor"),CONCATENATE("R10C",'Mapa final'!$Q$54),"")</f>
        <v/>
      </c>
      <c r="AD45" s="59" t="str">
        <f>IF(AND('Mapa final'!$AA$55="Baja",'Mapa final'!$AC$55="Mayor"),CONCATENATE("R10C",'Mapa final'!$Q$55),"")</f>
        <v/>
      </c>
      <c r="AE45" s="59" t="str">
        <f>IF(AND('Mapa final'!$AA$56="Baja",'Mapa final'!$AC$56="Mayor"),CONCATENATE("R10C",'Mapa final'!$Q$56),"")</f>
        <v/>
      </c>
      <c r="AF45" s="59" t="str">
        <f>IF(AND('Mapa final'!$AA$57="Baja",'Mapa final'!$AC$57="Mayor"),CONCATENATE("R10C",'Mapa final'!$Q$57),"")</f>
        <v/>
      </c>
      <c r="AG45" s="60" t="str">
        <f>IF(AND('Mapa final'!$AA$58="Baja",'Mapa final'!$AC$58="Mayor"),CONCATENATE("R10C",'Mapa final'!$Q$58),"")</f>
        <v/>
      </c>
      <c r="AH45" s="61" t="str">
        <f>IF(AND('Mapa final'!$AA$53="Baja",'Mapa final'!$AC$53="Catastrófico"),CONCATENATE("R10C",'Mapa final'!$Q$53),"")</f>
        <v/>
      </c>
      <c r="AI45" s="62" t="str">
        <f>IF(AND('Mapa final'!$AA$54="Baja",'Mapa final'!$AC$54="Catastrófico"),CONCATENATE("R10C",'Mapa final'!$Q$54),"")</f>
        <v/>
      </c>
      <c r="AJ45" s="62" t="str">
        <f>IF(AND('Mapa final'!$AA$55="Baja",'Mapa final'!$AC$55="Catastrófico"),CONCATENATE("R10C",'Mapa final'!$Q$55),"")</f>
        <v/>
      </c>
      <c r="AK45" s="62" t="str">
        <f>IF(AND('Mapa final'!$AA$56="Baja",'Mapa final'!$AC$56="Catastrófico"),CONCATENATE("R10C",'Mapa final'!$Q$56),"")</f>
        <v/>
      </c>
      <c r="AL45" s="62" t="str">
        <f>IF(AND('Mapa final'!$AA$57="Baja",'Mapa final'!$AC$57="Catastrófico"),CONCATENATE("R10C",'Mapa final'!$Q$57),"")</f>
        <v/>
      </c>
      <c r="AM45" s="63" t="str">
        <f>IF(AND('Mapa final'!$AA$58="Baja",'Mapa final'!$AC$58="Catastrófico"),CONCATENATE("R10C",'Mapa final'!$Q$58),"")</f>
        <v/>
      </c>
      <c r="AN45" s="83"/>
      <c r="AO45" s="379"/>
      <c r="AP45" s="380"/>
      <c r="AQ45" s="380"/>
      <c r="AR45" s="380"/>
      <c r="AS45" s="380"/>
      <c r="AT45" s="381"/>
    </row>
    <row r="46" spans="1:80" ht="46.5" customHeight="1" x14ac:dyDescent="0.55000000000000004">
      <c r="A46" s="83"/>
      <c r="B46" s="304"/>
      <c r="C46" s="304"/>
      <c r="D46" s="305"/>
      <c r="E46" s="342" t="s">
        <v>105</v>
      </c>
      <c r="F46" s="343"/>
      <c r="G46" s="343"/>
      <c r="H46" s="343"/>
      <c r="I46" s="344"/>
      <c r="J46" s="73" t="str">
        <f ca="1">IF(AND('Mapa final'!$AA$11="Muy Baja",'Mapa final'!$AC$11="Leve"),CONCATENATE("R1C",'Mapa final'!$Q$11),"")</f>
        <v/>
      </c>
      <c r="K46" s="74" t="str">
        <f>IF(AND('Mapa final'!$AA$12="Muy Baja",'Mapa final'!$AC$12="Leve"),CONCATENATE("R1C",'Mapa final'!$Q$12),"")</f>
        <v/>
      </c>
      <c r="L46" s="74" t="str">
        <f>IF(AND('Mapa final'!$AA$13="Muy Baja",'Mapa final'!$AC$13="Leve"),CONCATENATE("R1C",'Mapa final'!$Q$13),"")</f>
        <v/>
      </c>
      <c r="M46" s="74" t="str">
        <f>IF(AND('Mapa final'!$AA$14="Muy Baja",'Mapa final'!$AC$14="Leve"),CONCATENATE("R1C",'Mapa final'!$Q$14),"")</f>
        <v/>
      </c>
      <c r="N46" s="74" t="str">
        <f>IF(AND('Mapa final'!$AA$15="Muy Baja",'Mapa final'!$AC$15="Leve"),CONCATENATE("R1C",'Mapa final'!$Q$15),"")</f>
        <v/>
      </c>
      <c r="O46" s="75" t="str">
        <f>IF(AND('Mapa final'!$AA$16="Muy Baja",'Mapa final'!$AC$16="Leve"),CONCATENATE("R1C",'Mapa final'!$Q$16),"")</f>
        <v/>
      </c>
      <c r="P46" s="73" t="str">
        <f ca="1">IF(AND('Mapa final'!$AA$11="Muy Baja",'Mapa final'!$AC$11="Menor"),CONCATENATE("R1C",'Mapa final'!$Q$11),"")</f>
        <v/>
      </c>
      <c r="Q46" s="74" t="str">
        <f>IF(AND('Mapa final'!$AA$12="Muy Baja",'Mapa final'!$AC$12="Menor"),CONCATENATE("R1C",'Mapa final'!$Q$12),"")</f>
        <v/>
      </c>
      <c r="R46" s="74" t="str">
        <f>IF(AND('Mapa final'!$AA$13="Muy Baja",'Mapa final'!$AC$13="Menor"),CONCATENATE("R1C",'Mapa final'!$Q$13),"")</f>
        <v/>
      </c>
      <c r="S46" s="74" t="str">
        <f>IF(AND('Mapa final'!$AA$14="Muy Baja",'Mapa final'!$AC$14="Menor"),CONCATENATE("R1C",'Mapa final'!$Q$14),"")</f>
        <v/>
      </c>
      <c r="T46" s="74" t="str">
        <f>IF(AND('Mapa final'!$AA$15="Muy Baja",'Mapa final'!$AC$15="Menor"),CONCATENATE("R1C",'Mapa final'!$Q$15),"")</f>
        <v/>
      </c>
      <c r="U46" s="75" t="str">
        <f>IF(AND('Mapa final'!$AA$16="Muy Baja",'Mapa final'!$AC$16="Menor"),CONCATENATE("R1C",'Mapa final'!$Q$16),"")</f>
        <v/>
      </c>
      <c r="V46" s="64" t="str">
        <f ca="1">IF(AND('Mapa final'!$AA$11="Muy Baja",'Mapa final'!$AC$11="Moderado"),CONCATENATE("R1C",'Mapa final'!$Q$11),"")</f>
        <v/>
      </c>
      <c r="W46" s="82" t="str">
        <f>IF(AND('Mapa final'!$AA$12="Muy Baja",'Mapa final'!$AC$12="Moderado"),CONCATENATE("R1C",'Mapa final'!$Q$12),"")</f>
        <v/>
      </c>
      <c r="X46" s="65" t="str">
        <f>IF(AND('Mapa final'!$AA$13="Muy Baja",'Mapa final'!$AC$13="Moderado"),CONCATENATE("R1C",'Mapa final'!$Q$13),"")</f>
        <v/>
      </c>
      <c r="Y46" s="65" t="str">
        <f>IF(AND('Mapa final'!$AA$14="Muy Baja",'Mapa final'!$AC$14="Moderado"),CONCATENATE("R1C",'Mapa final'!$Q$14),"")</f>
        <v/>
      </c>
      <c r="Z46" s="65" t="str">
        <f>IF(AND('Mapa final'!$AA$15="Muy Baja",'Mapa final'!$AC$15="Moderado"),CONCATENATE("R1C",'Mapa final'!$Q$15),"")</f>
        <v/>
      </c>
      <c r="AA46" s="66" t="str">
        <f>IF(AND('Mapa final'!$AA$16="Muy Baja",'Mapa final'!$AC$16="Moderado"),CONCATENATE("R1C",'Mapa final'!$Q$16),"")</f>
        <v/>
      </c>
      <c r="AB46" s="46" t="str">
        <f ca="1">IF(AND('Mapa final'!$AA$11="Muy Baja",'Mapa final'!$AC$11="Mayor"),CONCATENATE("R1C",'Mapa final'!$Q$11),"")</f>
        <v/>
      </c>
      <c r="AC46" s="47" t="str">
        <f>IF(AND('Mapa final'!$AA$12="Muy Baja",'Mapa final'!$AC$12="Mayor"),CONCATENATE("R1C",'Mapa final'!$Q$12),"")</f>
        <v/>
      </c>
      <c r="AD46" s="47" t="str">
        <f>IF(AND('Mapa final'!$AA$13="Muy Baja",'Mapa final'!$AC$13="Mayor"),CONCATENATE("R1C",'Mapa final'!$Q$13),"")</f>
        <v/>
      </c>
      <c r="AE46" s="47" t="str">
        <f>IF(AND('Mapa final'!$AA$14="Muy Baja",'Mapa final'!$AC$14="Mayor"),CONCATENATE("R1C",'Mapa final'!$Q$14),"")</f>
        <v/>
      </c>
      <c r="AF46" s="47" t="str">
        <f>IF(AND('Mapa final'!$AA$15="Muy Baja",'Mapa final'!$AC$15="Mayor"),CONCATENATE("R1C",'Mapa final'!$Q$15),"")</f>
        <v/>
      </c>
      <c r="AG46" s="48" t="str">
        <f>IF(AND('Mapa final'!$AA$16="Muy Baja",'Mapa final'!$AC$16="Mayor"),CONCATENATE("R1C",'Mapa final'!$Q$16),"")</f>
        <v/>
      </c>
      <c r="AH46" s="49" t="str">
        <f ca="1">IF(AND('Mapa final'!$AA$11="Muy Baja",'Mapa final'!$AC$11="Catastrófico"),CONCATENATE("R1C",'Mapa final'!$Q$11),"")</f>
        <v/>
      </c>
      <c r="AI46" s="50" t="str">
        <f>IF(AND('Mapa final'!$AA$12="Muy Baja",'Mapa final'!$AC$12="Catastrófico"),CONCATENATE("R1C",'Mapa final'!$Q$12),"")</f>
        <v/>
      </c>
      <c r="AJ46" s="50" t="str">
        <f>IF(AND('Mapa final'!$AA$13="Muy Baja",'Mapa final'!$AC$13="Catastrófico"),CONCATENATE("R1C",'Mapa final'!$Q$13),"")</f>
        <v/>
      </c>
      <c r="AK46" s="50" t="str">
        <f>IF(AND('Mapa final'!$AA$14="Muy Baja",'Mapa final'!$AC$14="Catastrófico"),CONCATENATE("R1C",'Mapa final'!$Q$14),"")</f>
        <v/>
      </c>
      <c r="AL46" s="50" t="str">
        <f>IF(AND('Mapa final'!$AA$15="Muy Baja",'Mapa final'!$AC$15="Catastrófico"),CONCATENATE("R1C",'Mapa final'!$Q$15),"")</f>
        <v/>
      </c>
      <c r="AM46" s="51" t="str">
        <f>IF(AND('Mapa final'!$AA$16="Muy Baja",'Mapa final'!$AC$16="Catastrófico"),CONCATENATE("R1C",'Mapa final'!$Q$16),"")</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35">
      <c r="A47" s="83"/>
      <c r="B47" s="304"/>
      <c r="C47" s="304"/>
      <c r="D47" s="305"/>
      <c r="E47" s="361"/>
      <c r="F47" s="346"/>
      <c r="G47" s="346"/>
      <c r="H47" s="346"/>
      <c r="I47" s="347"/>
      <c r="J47" s="76" t="e">
        <f>IF(AND('Mapa final'!#REF!="Muy Baja",'Mapa final'!#REF!="Leve"),CONCATENATE("R2C",'Mapa final'!#REF!),"")</f>
        <v>#REF!</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e">
        <f>IF(AND('Mapa final'!#REF!="Muy Baja",'Mapa final'!#REF!="Menor"),CONCATENATE("R2C",'Mapa final'!#REF!),"")</f>
        <v>#REF!</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e">
        <f>IF(AND('Mapa final'!#REF!="Muy Baja",'Mapa final'!#REF!="Moderado"),CONCATENATE("R2C",'Mapa final'!#REF!),"")</f>
        <v>#REF!</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35">
      <c r="A48" s="83"/>
      <c r="B48" s="304"/>
      <c r="C48" s="304"/>
      <c r="D48" s="305"/>
      <c r="E48" s="361"/>
      <c r="F48" s="346"/>
      <c r="G48" s="346"/>
      <c r="H48" s="346"/>
      <c r="I48" s="347"/>
      <c r="J48" s="76" t="e">
        <f>IF(AND('Mapa final'!#REF!="Muy Baja",'Mapa final'!#REF!="Leve"),CONCATENATE("R3C",'Mapa final'!#REF!),"")</f>
        <v>#REF!</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e">
        <f>IF(AND('Mapa final'!#REF!="Muy Baja",'Mapa final'!#REF!="Menor"),CONCATENATE("R3C",'Mapa final'!#REF!),"")</f>
        <v>#REF!</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e">
        <f>IF(AND('Mapa final'!#REF!="Muy Baja",'Mapa final'!#REF!="Moderado"),CONCATENATE("R3C",'Mapa final'!#REF!),"")</f>
        <v>#REF!</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e">
        <f>IF(AND('Mapa final'!#REF!="Muy Baja",'Mapa final'!#REF!="Mayor"),CONCATENATE("R3C",'Mapa final'!#REF!),"")</f>
        <v>#REF!</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e">
        <f>IF(AND('Mapa final'!#REF!="Muy Baja",'Mapa final'!#REF!="Catastrófico"),CONCATENATE("R3C",'Mapa final'!#REF!),"")</f>
        <v>#REF!</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35">
      <c r="A49" s="83"/>
      <c r="B49" s="304"/>
      <c r="C49" s="304"/>
      <c r="D49" s="305"/>
      <c r="E49" s="345"/>
      <c r="F49" s="346"/>
      <c r="G49" s="346"/>
      <c r="H49" s="346"/>
      <c r="I49" s="347"/>
      <c r="J49" s="76" t="str">
        <f ca="1">IF(AND('Mapa final'!$AA$17="Muy Baja",'Mapa final'!$AC$17="Leve"),CONCATENATE("R4C",'Mapa final'!$Q$17),"")</f>
        <v>R4C1</v>
      </c>
      <c r="K49" s="77" t="str">
        <f>IF(AND('Mapa final'!$AA$18="Muy Baja",'Mapa final'!$AC$18="Leve"),CONCATENATE("R4C",'Mapa final'!$Q$18),"")</f>
        <v/>
      </c>
      <c r="L49" s="77" t="str">
        <f>IF(AND('Mapa final'!$AA$19="Muy Baja",'Mapa final'!$AC$19="Leve"),CONCATENATE("R4C",'Mapa final'!$Q$19),"")</f>
        <v/>
      </c>
      <c r="M49" s="77" t="str">
        <f>IF(AND('Mapa final'!$AA$20="Muy Baja",'Mapa final'!$AC$20="Leve"),CONCATENATE("R4C",'Mapa final'!$Q$20),"")</f>
        <v/>
      </c>
      <c r="N49" s="77" t="str">
        <f>IF(AND('Mapa final'!$AA$21="Muy Baja",'Mapa final'!$AC$21="Leve"),CONCATENATE("R4C",'Mapa final'!$Q$21),"")</f>
        <v/>
      </c>
      <c r="O49" s="78" t="str">
        <f>IF(AND('Mapa final'!$AA$22="Muy Baja",'Mapa final'!$AC$22="Leve"),CONCATENATE("R4C",'Mapa final'!$Q$22),"")</f>
        <v/>
      </c>
      <c r="P49" s="76" t="str">
        <f ca="1">IF(AND('Mapa final'!$AA$17="Muy Baja",'Mapa final'!$AC$17="Menor"),CONCATENATE("R4C",'Mapa final'!$Q$17),"")</f>
        <v/>
      </c>
      <c r="Q49" s="77" t="str">
        <f>IF(AND('Mapa final'!$AA$18="Muy Baja",'Mapa final'!$AC$18="Menor"),CONCATENATE("R4C",'Mapa final'!$Q$18),"")</f>
        <v/>
      </c>
      <c r="R49" s="77" t="str">
        <f>IF(AND('Mapa final'!$AA$19="Muy Baja",'Mapa final'!$AC$19="Menor"),CONCATENATE("R4C",'Mapa final'!$Q$19),"")</f>
        <v/>
      </c>
      <c r="S49" s="77" t="str">
        <f>IF(AND('Mapa final'!$AA$20="Muy Baja",'Mapa final'!$AC$20="Menor"),CONCATENATE("R4C",'Mapa final'!$Q$20),"")</f>
        <v/>
      </c>
      <c r="T49" s="77" t="str">
        <f>IF(AND('Mapa final'!$AA$21="Muy Baja",'Mapa final'!$AC$21="Menor"),CONCATENATE("R4C",'Mapa final'!$Q$21),"")</f>
        <v/>
      </c>
      <c r="U49" s="78" t="str">
        <f>IF(AND('Mapa final'!$AA$22="Muy Baja",'Mapa final'!$AC$22="Menor"),CONCATENATE("R4C",'Mapa final'!$Q$22),"")</f>
        <v/>
      </c>
      <c r="V49" s="67" t="str">
        <f ca="1">IF(AND('Mapa final'!$AA$17="Muy Baja",'Mapa final'!$AC$17="Moderado"),CONCATENATE("R4C",'Mapa final'!$Q$17),"")</f>
        <v/>
      </c>
      <c r="W49" s="68" t="str">
        <f>IF(AND('Mapa final'!$AA$18="Muy Baja",'Mapa final'!$AC$18="Moderado"),CONCATENATE("R4C",'Mapa final'!$Q$18),"")</f>
        <v/>
      </c>
      <c r="X49" s="68" t="str">
        <f>IF(AND('Mapa final'!$AA$19="Muy Baja",'Mapa final'!$AC$19="Moderado"),CONCATENATE("R4C",'Mapa final'!$Q$19),"")</f>
        <v/>
      </c>
      <c r="Y49" s="68" t="str">
        <f>IF(AND('Mapa final'!$AA$20="Muy Baja",'Mapa final'!$AC$20="Moderado"),CONCATENATE("R4C",'Mapa final'!$Q$20),"")</f>
        <v/>
      </c>
      <c r="Z49" s="68" t="str">
        <f>IF(AND('Mapa final'!$AA$21="Muy Baja",'Mapa final'!$AC$21="Moderado"),CONCATENATE("R4C",'Mapa final'!$Q$21),"")</f>
        <v/>
      </c>
      <c r="AA49" s="69" t="str">
        <f>IF(AND('Mapa final'!$AA$22="Muy Baja",'Mapa final'!$AC$22="Moderado"),CONCATENATE("R4C",'Mapa final'!$Q$22),"")</f>
        <v/>
      </c>
      <c r="AB49" s="52" t="str">
        <f ca="1">IF(AND('Mapa final'!$AA$17="Muy Baja",'Mapa final'!$AC$17="Mayor"),CONCATENATE("R4C",'Mapa final'!$Q$17),"")</f>
        <v/>
      </c>
      <c r="AC49" s="53" t="str">
        <f>IF(AND('Mapa final'!$AA$18="Muy Baja",'Mapa final'!$AC$18="Mayor"),CONCATENATE("R4C",'Mapa final'!$Q$18),"")</f>
        <v/>
      </c>
      <c r="AD49" s="53" t="str">
        <f>IF(AND('Mapa final'!$AA$19="Muy Baja",'Mapa final'!$AC$19="Mayor"),CONCATENATE("R4C",'Mapa final'!$Q$19),"")</f>
        <v/>
      </c>
      <c r="AE49" s="53" t="str">
        <f>IF(AND('Mapa final'!$AA$20="Muy Baja",'Mapa final'!$AC$20="Mayor"),CONCATENATE("R4C",'Mapa final'!$Q$20),"")</f>
        <v/>
      </c>
      <c r="AF49" s="53" t="str">
        <f>IF(AND('Mapa final'!$AA$21="Muy Baja",'Mapa final'!$AC$21="Mayor"),CONCATENATE("R4C",'Mapa final'!$Q$21),"")</f>
        <v/>
      </c>
      <c r="AG49" s="54" t="str">
        <f>IF(AND('Mapa final'!$AA$22="Muy Baja",'Mapa final'!$AC$22="Mayor"),CONCATENATE("R4C",'Mapa final'!$Q$22),"")</f>
        <v/>
      </c>
      <c r="AH49" s="55" t="str">
        <f ca="1">IF(AND('Mapa final'!$AA$17="Muy Baja",'Mapa final'!$AC$17="Catastrófico"),CONCATENATE("R4C",'Mapa final'!$Q$17),"")</f>
        <v/>
      </c>
      <c r="AI49" s="56" t="str">
        <f>IF(AND('Mapa final'!$AA$18="Muy Baja",'Mapa final'!$AC$18="Catastrófico"),CONCATENATE("R4C",'Mapa final'!$Q$18),"")</f>
        <v/>
      </c>
      <c r="AJ49" s="56" t="str">
        <f>IF(AND('Mapa final'!$AA$19="Muy Baja",'Mapa final'!$AC$19="Catastrófico"),CONCATENATE("R4C",'Mapa final'!$Q$19),"")</f>
        <v/>
      </c>
      <c r="AK49" s="56" t="str">
        <f>IF(AND('Mapa final'!$AA$20="Muy Baja",'Mapa final'!$AC$20="Catastrófico"),CONCATENATE("R4C",'Mapa final'!$Q$20),"")</f>
        <v/>
      </c>
      <c r="AL49" s="56" t="str">
        <f>IF(AND('Mapa final'!$AA$21="Muy Baja",'Mapa final'!$AC$21="Catastrófico"),CONCATENATE("R4C",'Mapa final'!$Q$21),"")</f>
        <v/>
      </c>
      <c r="AM49" s="57" t="str">
        <f>IF(AND('Mapa final'!$AA$22="Muy Baja",'Mapa final'!$AC$22="Catastrófico"),CONCATENATE("R4C",'Mapa final'!$Q$22),"")</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35">
      <c r="A50" s="83"/>
      <c r="B50" s="304"/>
      <c r="C50" s="304"/>
      <c r="D50" s="305"/>
      <c r="E50" s="345"/>
      <c r="F50" s="346"/>
      <c r="G50" s="346"/>
      <c r="H50" s="346"/>
      <c r="I50" s="347"/>
      <c r="J50" s="76" t="str">
        <f ca="1">IF(AND('Mapa final'!$AA$23="Muy Baja",'Mapa final'!$AC$23="Leve"),CONCATENATE("R5C",'Mapa final'!$Q$23),"")</f>
        <v/>
      </c>
      <c r="K50" s="77" t="str">
        <f>IF(AND('Mapa final'!$AA$24="Muy Baja",'Mapa final'!$AC$24="Leve"),CONCATENATE("R5C",'Mapa final'!$Q$24),"")</f>
        <v/>
      </c>
      <c r="L50" s="77" t="str">
        <f>IF(AND('Mapa final'!$AA$25="Muy Baja",'Mapa final'!$AC$25="Leve"),CONCATENATE("R5C",'Mapa final'!$Q$25),"")</f>
        <v/>
      </c>
      <c r="M50" s="77" t="str">
        <f>IF(AND('Mapa final'!$AA$26="Muy Baja",'Mapa final'!$AC$26="Leve"),CONCATENATE("R5C",'Mapa final'!$Q$26),"")</f>
        <v/>
      </c>
      <c r="N50" s="77" t="str">
        <f>IF(AND('Mapa final'!$AA$27="Muy Baja",'Mapa final'!$AC$27="Leve"),CONCATENATE("R5C",'Mapa final'!$Q$27),"")</f>
        <v/>
      </c>
      <c r="O50" s="78" t="str">
        <f>IF(AND('Mapa final'!$AA$28="Muy Baja",'Mapa final'!$AC$28="Leve"),CONCATENATE("R5C",'Mapa final'!$Q$28),"")</f>
        <v/>
      </c>
      <c r="P50" s="76" t="str">
        <f ca="1">IF(AND('Mapa final'!$AA$23="Muy Baja",'Mapa final'!$AC$23="Menor"),CONCATENATE("R5C",'Mapa final'!$Q$23),"")</f>
        <v/>
      </c>
      <c r="Q50" s="77" t="str">
        <f>IF(AND('Mapa final'!$AA$24="Muy Baja",'Mapa final'!$AC$24="Menor"),CONCATENATE("R5C",'Mapa final'!$Q$24),"")</f>
        <v/>
      </c>
      <c r="R50" s="77" t="str">
        <f>IF(AND('Mapa final'!$AA$25="Muy Baja",'Mapa final'!$AC$25="Menor"),CONCATENATE("R5C",'Mapa final'!$Q$25),"")</f>
        <v/>
      </c>
      <c r="S50" s="77" t="str">
        <f>IF(AND('Mapa final'!$AA$26="Muy Baja",'Mapa final'!$AC$26="Menor"),CONCATENATE("R5C",'Mapa final'!$Q$26),"")</f>
        <v/>
      </c>
      <c r="T50" s="77" t="str">
        <f>IF(AND('Mapa final'!$AA$27="Muy Baja",'Mapa final'!$AC$27="Menor"),CONCATENATE("R5C",'Mapa final'!$Q$27),"")</f>
        <v/>
      </c>
      <c r="U50" s="78" t="str">
        <f>IF(AND('Mapa final'!$AA$28="Muy Baja",'Mapa final'!$AC$28="Menor"),CONCATENATE("R5C",'Mapa final'!$Q$28),"")</f>
        <v/>
      </c>
      <c r="V50" s="67" t="str">
        <f ca="1">IF(AND('Mapa final'!$AA$23="Muy Baja",'Mapa final'!$AC$23="Moderado"),CONCATENATE("R5C",'Mapa final'!$Q$23),"")</f>
        <v/>
      </c>
      <c r="W50" s="68" t="str">
        <f>IF(AND('Mapa final'!$AA$24="Muy Baja",'Mapa final'!$AC$24="Moderado"),CONCATENATE("R5C",'Mapa final'!$Q$24),"")</f>
        <v/>
      </c>
      <c r="X50" s="68" t="str">
        <f>IF(AND('Mapa final'!$AA$25="Muy Baja",'Mapa final'!$AC$25="Moderado"),CONCATENATE("R5C",'Mapa final'!$Q$25),"")</f>
        <v/>
      </c>
      <c r="Y50" s="68" t="str">
        <f>IF(AND('Mapa final'!$AA$26="Muy Baja",'Mapa final'!$AC$26="Moderado"),CONCATENATE("R5C",'Mapa final'!$Q$26),"")</f>
        <v/>
      </c>
      <c r="Z50" s="68" t="str">
        <f>IF(AND('Mapa final'!$AA$27="Muy Baja",'Mapa final'!$AC$27="Moderado"),CONCATENATE("R5C",'Mapa final'!$Q$27),"")</f>
        <v/>
      </c>
      <c r="AA50" s="69" t="str">
        <f>IF(AND('Mapa final'!$AA$28="Muy Baja",'Mapa final'!$AC$28="Moderado"),CONCATENATE("R5C",'Mapa final'!$Q$28),"")</f>
        <v/>
      </c>
      <c r="AB50" s="52" t="str">
        <f ca="1">IF(AND('Mapa final'!$AA$23="Muy Baja",'Mapa final'!$AC$23="Mayor"),CONCATENATE("R5C",'Mapa final'!$Q$23),"")</f>
        <v/>
      </c>
      <c r="AC50" s="53" t="str">
        <f>IF(AND('Mapa final'!$AA$24="Muy Baja",'Mapa final'!$AC$24="Mayor"),CONCATENATE("R5C",'Mapa final'!$Q$24),"")</f>
        <v/>
      </c>
      <c r="AD50" s="53" t="str">
        <f>IF(AND('Mapa final'!$AA$25="Muy Baja",'Mapa final'!$AC$25="Mayor"),CONCATENATE("R5C",'Mapa final'!$Q$25),"")</f>
        <v/>
      </c>
      <c r="AE50" s="53" t="str">
        <f>IF(AND('Mapa final'!$AA$26="Muy Baja",'Mapa final'!$AC$26="Mayor"),CONCATENATE("R5C",'Mapa final'!$Q$26),"")</f>
        <v/>
      </c>
      <c r="AF50" s="53" t="str">
        <f>IF(AND('Mapa final'!$AA$27="Muy Baja",'Mapa final'!$AC$27="Mayor"),CONCATENATE("R5C",'Mapa final'!$Q$27),"")</f>
        <v/>
      </c>
      <c r="AG50" s="54" t="str">
        <f>IF(AND('Mapa final'!$AA$28="Muy Baja",'Mapa final'!$AC$28="Mayor"),CONCATENATE("R5C",'Mapa final'!$Q$28),"")</f>
        <v/>
      </c>
      <c r="AH50" s="55" t="str">
        <f ca="1">IF(AND('Mapa final'!$AA$23="Muy Baja",'Mapa final'!$AC$23="Catastrófico"),CONCATENATE("R5C",'Mapa final'!$Q$23),"")</f>
        <v/>
      </c>
      <c r="AI50" s="56" t="str">
        <f>IF(AND('Mapa final'!$AA$24="Muy Baja",'Mapa final'!$AC$24="Catastrófico"),CONCATENATE("R5C",'Mapa final'!$Q$24),"")</f>
        <v/>
      </c>
      <c r="AJ50" s="56" t="str">
        <f>IF(AND('Mapa final'!$AA$25="Muy Baja",'Mapa final'!$AC$25="Catastrófico"),CONCATENATE("R5C",'Mapa final'!$Q$25),"")</f>
        <v/>
      </c>
      <c r="AK50" s="56" t="str">
        <f>IF(AND('Mapa final'!$AA$26="Muy Baja",'Mapa final'!$AC$26="Catastrófico"),CONCATENATE("R5C",'Mapa final'!$Q$26),"")</f>
        <v/>
      </c>
      <c r="AL50" s="56" t="str">
        <f>IF(AND('Mapa final'!$AA$27="Muy Baja",'Mapa final'!$AC$27="Catastrófico"),CONCATENATE("R5C",'Mapa final'!$Q$27),"")</f>
        <v/>
      </c>
      <c r="AM50" s="57" t="str">
        <f>IF(AND('Mapa final'!$AA$28="Muy Baja",'Mapa final'!$AC$28="Catastrófico"),CONCATENATE("R5C",'Mapa final'!$Q$28),"")</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35">
      <c r="A51" s="83"/>
      <c r="B51" s="304"/>
      <c r="C51" s="304"/>
      <c r="D51" s="305"/>
      <c r="E51" s="345"/>
      <c r="F51" s="346"/>
      <c r="G51" s="346"/>
      <c r="H51" s="346"/>
      <c r="I51" s="347"/>
      <c r="J51" s="76" t="str">
        <f ca="1">IF(AND('Mapa final'!$AA$29="Muy Baja",'Mapa final'!$AC$29="Leve"),CONCATENATE("R6C",'Mapa final'!$Q$29),"")</f>
        <v/>
      </c>
      <c r="K51" s="77" t="str">
        <f>IF(AND('Mapa final'!$AA$30="Muy Baja",'Mapa final'!$AC$30="Leve"),CONCATENATE("R6C",'Mapa final'!$Q$30),"")</f>
        <v/>
      </c>
      <c r="L51" s="77" t="str">
        <f>IF(AND('Mapa final'!$AA$31="Muy Baja",'Mapa final'!$AC$31="Leve"),CONCATENATE("R6C",'Mapa final'!$Q$31),"")</f>
        <v/>
      </c>
      <c r="M51" s="77" t="str">
        <f>IF(AND('Mapa final'!$AA$32="Muy Baja",'Mapa final'!$AC$32="Leve"),CONCATENATE("R6C",'Mapa final'!$Q$32),"")</f>
        <v/>
      </c>
      <c r="N51" s="77" t="str">
        <f>IF(AND('Mapa final'!$AA$33="Muy Baja",'Mapa final'!$AC$33="Leve"),CONCATENATE("R6C",'Mapa final'!$Q$33),"")</f>
        <v/>
      </c>
      <c r="O51" s="78" t="str">
        <f>IF(AND('Mapa final'!$AA$34="Muy Baja",'Mapa final'!$AC$34="Leve"),CONCATENATE("R6C",'Mapa final'!$Q$34),"")</f>
        <v/>
      </c>
      <c r="P51" s="76" t="str">
        <f ca="1">IF(AND('Mapa final'!$AA$29="Muy Baja",'Mapa final'!$AC$29="Menor"),CONCATENATE("R6C",'Mapa final'!$Q$29),"")</f>
        <v/>
      </c>
      <c r="Q51" s="77" t="str">
        <f>IF(AND('Mapa final'!$AA$30="Muy Baja",'Mapa final'!$AC$30="Menor"),CONCATENATE("R6C",'Mapa final'!$Q$30),"")</f>
        <v/>
      </c>
      <c r="R51" s="77" t="str">
        <f>IF(AND('Mapa final'!$AA$31="Muy Baja",'Mapa final'!$AC$31="Menor"),CONCATENATE("R6C",'Mapa final'!$Q$31),"")</f>
        <v/>
      </c>
      <c r="S51" s="77" t="str">
        <f>IF(AND('Mapa final'!$AA$32="Muy Baja",'Mapa final'!$AC$32="Menor"),CONCATENATE("R6C",'Mapa final'!$Q$32),"")</f>
        <v/>
      </c>
      <c r="T51" s="77" t="str">
        <f>IF(AND('Mapa final'!$AA$33="Muy Baja",'Mapa final'!$AC$33="Menor"),CONCATENATE("R6C",'Mapa final'!$Q$33),"")</f>
        <v/>
      </c>
      <c r="U51" s="78" t="str">
        <f>IF(AND('Mapa final'!$AA$34="Muy Baja",'Mapa final'!$AC$34="Menor"),CONCATENATE("R6C",'Mapa final'!$Q$34),"")</f>
        <v/>
      </c>
      <c r="V51" s="67" t="str">
        <f ca="1">IF(AND('Mapa final'!$AA$29="Muy Baja",'Mapa final'!$AC$29="Moderado"),CONCATENATE("R6C",'Mapa final'!$Q$29),"")</f>
        <v/>
      </c>
      <c r="W51" s="68" t="str">
        <f>IF(AND('Mapa final'!$AA$30="Muy Baja",'Mapa final'!$AC$30="Moderado"),CONCATENATE("R6C",'Mapa final'!$Q$30),"")</f>
        <v/>
      </c>
      <c r="X51" s="68" t="str">
        <f>IF(AND('Mapa final'!$AA$31="Muy Baja",'Mapa final'!$AC$31="Moderado"),CONCATENATE("R6C",'Mapa final'!$Q$31),"")</f>
        <v/>
      </c>
      <c r="Y51" s="68" t="str">
        <f>IF(AND('Mapa final'!$AA$32="Muy Baja",'Mapa final'!$AC$32="Moderado"),CONCATENATE("R6C",'Mapa final'!$Q$32),"")</f>
        <v/>
      </c>
      <c r="Z51" s="68" t="str">
        <f>IF(AND('Mapa final'!$AA$33="Muy Baja",'Mapa final'!$AC$33="Moderado"),CONCATENATE("R6C",'Mapa final'!$Q$33),"")</f>
        <v/>
      </c>
      <c r="AA51" s="69" t="str">
        <f>IF(AND('Mapa final'!$AA$34="Muy Baja",'Mapa final'!$AC$34="Moderado"),CONCATENATE("R6C",'Mapa final'!$Q$34),"")</f>
        <v/>
      </c>
      <c r="AB51" s="52" t="str">
        <f ca="1">IF(AND('Mapa final'!$AA$29="Muy Baja",'Mapa final'!$AC$29="Mayor"),CONCATENATE("R6C",'Mapa final'!$Q$29),"")</f>
        <v/>
      </c>
      <c r="AC51" s="53" t="str">
        <f>IF(AND('Mapa final'!$AA$30="Muy Baja",'Mapa final'!$AC$30="Mayor"),CONCATENATE("R6C",'Mapa final'!$Q$30),"")</f>
        <v/>
      </c>
      <c r="AD51" s="53" t="str">
        <f>IF(AND('Mapa final'!$AA$31="Muy Baja",'Mapa final'!$AC$31="Mayor"),CONCATENATE("R6C",'Mapa final'!$Q$31),"")</f>
        <v/>
      </c>
      <c r="AE51" s="53" t="str">
        <f>IF(AND('Mapa final'!$AA$32="Muy Baja",'Mapa final'!$AC$32="Mayor"),CONCATENATE("R6C",'Mapa final'!$Q$32),"")</f>
        <v/>
      </c>
      <c r="AF51" s="53" t="str">
        <f>IF(AND('Mapa final'!$AA$33="Muy Baja",'Mapa final'!$AC$33="Mayor"),CONCATENATE("R6C",'Mapa final'!$Q$33),"")</f>
        <v/>
      </c>
      <c r="AG51" s="54" t="str">
        <f>IF(AND('Mapa final'!$AA$34="Muy Baja",'Mapa final'!$AC$34="Mayor"),CONCATENATE("R6C",'Mapa final'!$Q$34),"")</f>
        <v/>
      </c>
      <c r="AH51" s="55" t="str">
        <f ca="1">IF(AND('Mapa final'!$AA$29="Muy Baja",'Mapa final'!$AC$29="Catastrófico"),CONCATENATE("R6C",'Mapa final'!$Q$29),"")</f>
        <v/>
      </c>
      <c r="AI51" s="56" t="str">
        <f>IF(AND('Mapa final'!$AA$30="Muy Baja",'Mapa final'!$AC$30="Catastrófico"),CONCATENATE("R6C",'Mapa final'!$Q$30),"")</f>
        <v/>
      </c>
      <c r="AJ51" s="56" t="str">
        <f>IF(AND('Mapa final'!$AA$31="Muy Baja",'Mapa final'!$AC$31="Catastrófico"),CONCATENATE("R6C",'Mapa final'!$Q$31),"")</f>
        <v/>
      </c>
      <c r="AK51" s="56" t="str">
        <f>IF(AND('Mapa final'!$AA$32="Muy Baja",'Mapa final'!$AC$32="Catastrófico"),CONCATENATE("R6C",'Mapa final'!$Q$32),"")</f>
        <v/>
      </c>
      <c r="AL51" s="56" t="str">
        <f>IF(AND('Mapa final'!$AA$33="Muy Baja",'Mapa final'!$AC$33="Catastrófico"),CONCATENATE("R6C",'Mapa final'!$Q$33),"")</f>
        <v/>
      </c>
      <c r="AM51" s="57" t="str">
        <f>IF(AND('Mapa final'!$AA$34="Muy Baja",'Mapa final'!$AC$34="Catastrófico"),CONCATENATE("R6C",'Mapa final'!$Q$34),"")</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35">
      <c r="A52" s="83"/>
      <c r="B52" s="304"/>
      <c r="C52" s="304"/>
      <c r="D52" s="305"/>
      <c r="E52" s="345"/>
      <c r="F52" s="346"/>
      <c r="G52" s="346"/>
      <c r="H52" s="346"/>
      <c r="I52" s="347"/>
      <c r="J52" s="76" t="str">
        <f ca="1">IF(AND('Mapa final'!$AA$35="Muy Baja",'Mapa final'!$AC$35="Leve"),CONCATENATE("R7C",'Mapa final'!$Q$35),"")</f>
        <v/>
      </c>
      <c r="K52" s="77" t="str">
        <f>IF(AND('Mapa final'!$AA$36="Muy Baja",'Mapa final'!$AC$36="Leve"),CONCATENATE("R7C",'Mapa final'!$Q$36),"")</f>
        <v/>
      </c>
      <c r="L52" s="77" t="str">
        <f>IF(AND('Mapa final'!$AA$37="Muy Baja",'Mapa final'!$AC$37="Leve"),CONCATENATE("R7C",'Mapa final'!$Q$37),"")</f>
        <v/>
      </c>
      <c r="M52" s="77" t="str">
        <f>IF(AND('Mapa final'!$AA$38="Muy Baja",'Mapa final'!$AC$38="Leve"),CONCATENATE("R7C",'Mapa final'!$Q$38),"")</f>
        <v/>
      </c>
      <c r="N52" s="77" t="str">
        <f>IF(AND('Mapa final'!$AA$39="Muy Baja",'Mapa final'!$AC$39="Leve"),CONCATENATE("R7C",'Mapa final'!$Q$39),"")</f>
        <v/>
      </c>
      <c r="O52" s="78" t="str">
        <f>IF(AND('Mapa final'!$AA$40="Muy Baja",'Mapa final'!$AC$40="Leve"),CONCATENATE("R7C",'Mapa final'!$Q$40),"")</f>
        <v/>
      </c>
      <c r="P52" s="76" t="str">
        <f ca="1">IF(AND('Mapa final'!$AA$35="Muy Baja",'Mapa final'!$AC$35="Menor"),CONCATENATE("R7C",'Mapa final'!$Q$35),"")</f>
        <v/>
      </c>
      <c r="Q52" s="77" t="str">
        <f>IF(AND('Mapa final'!$AA$36="Muy Baja",'Mapa final'!$AC$36="Menor"),CONCATENATE("R7C",'Mapa final'!$Q$36),"")</f>
        <v/>
      </c>
      <c r="R52" s="77" t="str">
        <f>IF(AND('Mapa final'!$AA$37="Muy Baja",'Mapa final'!$AC$37="Menor"),CONCATENATE("R7C",'Mapa final'!$Q$37),"")</f>
        <v/>
      </c>
      <c r="S52" s="77" t="str">
        <f>IF(AND('Mapa final'!$AA$38="Muy Baja",'Mapa final'!$AC$38="Menor"),CONCATENATE("R7C",'Mapa final'!$Q$38),"")</f>
        <v/>
      </c>
      <c r="T52" s="77" t="str">
        <f>IF(AND('Mapa final'!$AA$39="Muy Baja",'Mapa final'!$AC$39="Menor"),CONCATENATE("R7C",'Mapa final'!$Q$39),"")</f>
        <v/>
      </c>
      <c r="U52" s="78" t="str">
        <f>IF(AND('Mapa final'!$AA$40="Muy Baja",'Mapa final'!$AC$40="Menor"),CONCATENATE("R7C",'Mapa final'!$Q$40),"")</f>
        <v/>
      </c>
      <c r="V52" s="67" t="str">
        <f ca="1">IF(AND('Mapa final'!$AA$35="Muy Baja",'Mapa final'!$AC$35="Moderado"),CONCATENATE("R7C",'Mapa final'!$Q$35),"")</f>
        <v/>
      </c>
      <c r="W52" s="68" t="str">
        <f>IF(AND('Mapa final'!$AA$36="Muy Baja",'Mapa final'!$AC$36="Moderado"),CONCATENATE("R7C",'Mapa final'!$Q$36),"")</f>
        <v/>
      </c>
      <c r="X52" s="68" t="str">
        <f>IF(AND('Mapa final'!$AA$37="Muy Baja",'Mapa final'!$AC$37="Moderado"),CONCATENATE("R7C",'Mapa final'!$Q$37),"")</f>
        <v/>
      </c>
      <c r="Y52" s="68" t="str">
        <f>IF(AND('Mapa final'!$AA$38="Muy Baja",'Mapa final'!$AC$38="Moderado"),CONCATENATE("R7C",'Mapa final'!$Q$38),"")</f>
        <v/>
      </c>
      <c r="Z52" s="68" t="str">
        <f>IF(AND('Mapa final'!$AA$39="Muy Baja",'Mapa final'!$AC$39="Moderado"),CONCATENATE("R7C",'Mapa final'!$Q$39),"")</f>
        <v/>
      </c>
      <c r="AA52" s="69" t="str">
        <f>IF(AND('Mapa final'!$AA$40="Muy Baja",'Mapa final'!$AC$40="Moderado"),CONCATENATE("R7C",'Mapa final'!$Q$40),"")</f>
        <v/>
      </c>
      <c r="AB52" s="52" t="str">
        <f ca="1">IF(AND('Mapa final'!$AA$35="Muy Baja",'Mapa final'!$AC$35="Mayor"),CONCATENATE("R7C",'Mapa final'!$Q$35),"")</f>
        <v/>
      </c>
      <c r="AC52" s="53" t="str">
        <f>IF(AND('Mapa final'!$AA$36="Muy Baja",'Mapa final'!$AC$36="Mayor"),CONCATENATE("R7C",'Mapa final'!$Q$36),"")</f>
        <v/>
      </c>
      <c r="AD52" s="53" t="str">
        <f>IF(AND('Mapa final'!$AA$37="Muy Baja",'Mapa final'!$AC$37="Mayor"),CONCATENATE("R7C",'Mapa final'!$Q$37),"")</f>
        <v/>
      </c>
      <c r="AE52" s="53" t="str">
        <f>IF(AND('Mapa final'!$AA$38="Muy Baja",'Mapa final'!$AC$38="Mayor"),CONCATENATE("R7C",'Mapa final'!$Q$38),"")</f>
        <v/>
      </c>
      <c r="AF52" s="53" t="str">
        <f>IF(AND('Mapa final'!$AA$39="Muy Baja",'Mapa final'!$AC$39="Mayor"),CONCATENATE("R7C",'Mapa final'!$Q$39),"")</f>
        <v/>
      </c>
      <c r="AG52" s="54" t="str">
        <f>IF(AND('Mapa final'!$AA$40="Muy Baja",'Mapa final'!$AC$40="Mayor"),CONCATENATE("R7C",'Mapa final'!$Q$40),"")</f>
        <v/>
      </c>
      <c r="AH52" s="55" t="str">
        <f ca="1">IF(AND('Mapa final'!$AA$35="Muy Baja",'Mapa final'!$AC$35="Catastrófico"),CONCATENATE("R7C",'Mapa final'!$Q$35),"")</f>
        <v/>
      </c>
      <c r="AI52" s="56" t="str">
        <f>IF(AND('Mapa final'!$AA$36="Muy Baja",'Mapa final'!$AC$36="Catastrófico"),CONCATENATE("R7C",'Mapa final'!$Q$36),"")</f>
        <v/>
      </c>
      <c r="AJ52" s="56" t="str">
        <f>IF(AND('Mapa final'!$AA$37="Muy Baja",'Mapa final'!$AC$37="Catastrófico"),CONCATENATE("R7C",'Mapa final'!$Q$37),"")</f>
        <v/>
      </c>
      <c r="AK52" s="56" t="str">
        <f>IF(AND('Mapa final'!$AA$38="Muy Baja",'Mapa final'!$AC$38="Catastrófico"),CONCATENATE("R7C",'Mapa final'!$Q$38),"")</f>
        <v/>
      </c>
      <c r="AL52" s="56" t="str">
        <f>IF(AND('Mapa final'!$AA$39="Muy Baja",'Mapa final'!$AC$39="Catastrófico"),CONCATENATE("R7C",'Mapa final'!$Q$39),"")</f>
        <v/>
      </c>
      <c r="AM52" s="57" t="str">
        <f>IF(AND('Mapa final'!$AA$40="Muy Baja",'Mapa final'!$AC$40="Catastrófico"),CONCATENATE("R7C",'Mapa final'!$Q$40),"")</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5">
      <c r="A53" s="83"/>
      <c r="B53" s="304"/>
      <c r="C53" s="304"/>
      <c r="D53" s="305"/>
      <c r="E53" s="345"/>
      <c r="F53" s="346"/>
      <c r="G53" s="346"/>
      <c r="H53" s="346"/>
      <c r="I53" s="347"/>
      <c r="J53" s="76" t="str">
        <f>IF(AND('Mapa final'!$AA$41="Muy Baja",'Mapa final'!$AC$41="Leve"),CONCATENATE("R8C",'Mapa final'!$Q$41),"")</f>
        <v/>
      </c>
      <c r="K53" s="77" t="str">
        <f>IF(AND('Mapa final'!$AA$42="Muy Baja",'Mapa final'!$AC$42="Leve"),CONCATENATE("R8C",'Mapa final'!$Q$42),"")</f>
        <v/>
      </c>
      <c r="L53" s="77" t="str">
        <f>IF(AND('Mapa final'!$AA$43="Muy Baja",'Mapa final'!$AC$43="Leve"),CONCATENATE("R8C",'Mapa final'!$Q$43),"")</f>
        <v/>
      </c>
      <c r="M53" s="77" t="str">
        <f>IF(AND('Mapa final'!$AA$44="Muy Baja",'Mapa final'!$AC$44="Leve"),CONCATENATE("R8C",'Mapa final'!$Q$44),"")</f>
        <v/>
      </c>
      <c r="N53" s="77" t="str">
        <f>IF(AND('Mapa final'!$AA$45="Muy Baja",'Mapa final'!$AC$45="Leve"),CONCATENATE("R8C",'Mapa final'!$Q$45),"")</f>
        <v/>
      </c>
      <c r="O53" s="78" t="str">
        <f>IF(AND('Mapa final'!$AA$46="Muy Baja",'Mapa final'!$AC$46="Leve"),CONCATENATE("R8C",'Mapa final'!$Q$46),"")</f>
        <v/>
      </c>
      <c r="P53" s="76" t="str">
        <f>IF(AND('Mapa final'!$AA$41="Muy Baja",'Mapa final'!$AC$41="Menor"),CONCATENATE("R8C",'Mapa final'!$Q$41),"")</f>
        <v/>
      </c>
      <c r="Q53" s="77" t="str">
        <f>IF(AND('Mapa final'!$AA$42="Muy Baja",'Mapa final'!$AC$42="Menor"),CONCATENATE("R8C",'Mapa final'!$Q$42),"")</f>
        <v/>
      </c>
      <c r="R53" s="77" t="str">
        <f>IF(AND('Mapa final'!$AA$43="Muy Baja",'Mapa final'!$AC$43="Menor"),CONCATENATE("R8C",'Mapa final'!$Q$43),"")</f>
        <v/>
      </c>
      <c r="S53" s="77" t="str">
        <f>IF(AND('Mapa final'!$AA$44="Muy Baja",'Mapa final'!$AC$44="Menor"),CONCATENATE("R8C",'Mapa final'!$Q$44),"")</f>
        <v/>
      </c>
      <c r="T53" s="77" t="str">
        <f>IF(AND('Mapa final'!$AA$45="Muy Baja",'Mapa final'!$AC$45="Menor"),CONCATENATE("R8C",'Mapa final'!$Q$45),"")</f>
        <v/>
      </c>
      <c r="U53" s="78" t="str">
        <f>IF(AND('Mapa final'!$AA$46="Muy Baja",'Mapa final'!$AC$46="Menor"),CONCATENATE("R8C",'Mapa final'!$Q$46),"")</f>
        <v/>
      </c>
      <c r="V53" s="67" t="str">
        <f>IF(AND('Mapa final'!$AA$41="Muy Baja",'Mapa final'!$AC$41="Moderado"),CONCATENATE("R8C",'Mapa final'!$Q$41),"")</f>
        <v/>
      </c>
      <c r="W53" s="68" t="str">
        <f>IF(AND('Mapa final'!$AA$42="Muy Baja",'Mapa final'!$AC$42="Moderado"),CONCATENATE("R8C",'Mapa final'!$Q$42),"")</f>
        <v/>
      </c>
      <c r="X53" s="68" t="str">
        <f>IF(AND('Mapa final'!$AA$43="Muy Baja",'Mapa final'!$AC$43="Moderado"),CONCATENATE("R8C",'Mapa final'!$Q$43),"")</f>
        <v/>
      </c>
      <c r="Y53" s="68" t="str">
        <f>IF(AND('Mapa final'!$AA$44="Muy Baja",'Mapa final'!$AC$44="Moderado"),CONCATENATE("R8C",'Mapa final'!$Q$44),"")</f>
        <v/>
      </c>
      <c r="Z53" s="68" t="str">
        <f>IF(AND('Mapa final'!$AA$45="Muy Baja",'Mapa final'!$AC$45="Moderado"),CONCATENATE("R8C",'Mapa final'!$Q$45),"")</f>
        <v/>
      </c>
      <c r="AA53" s="69" t="str">
        <f>IF(AND('Mapa final'!$AA$46="Muy Baja",'Mapa final'!$AC$46="Moderado"),CONCATENATE("R8C",'Mapa final'!$Q$46),"")</f>
        <v/>
      </c>
      <c r="AB53" s="52" t="str">
        <f>IF(AND('Mapa final'!$AA$41="Muy Baja",'Mapa final'!$AC$41="Mayor"),CONCATENATE("R8C",'Mapa final'!$Q$41),"")</f>
        <v/>
      </c>
      <c r="AC53" s="53" t="str">
        <f>IF(AND('Mapa final'!$AA$42="Muy Baja",'Mapa final'!$AC$42="Mayor"),CONCATENATE("R8C",'Mapa final'!$Q$42),"")</f>
        <v/>
      </c>
      <c r="AD53" s="53" t="str">
        <f>IF(AND('Mapa final'!$AA$43="Muy Baja",'Mapa final'!$AC$43="Mayor"),CONCATENATE("R8C",'Mapa final'!$Q$43),"")</f>
        <v/>
      </c>
      <c r="AE53" s="53" t="str">
        <f>IF(AND('Mapa final'!$AA$44="Muy Baja",'Mapa final'!$AC$44="Mayor"),CONCATENATE("R8C",'Mapa final'!$Q$44),"")</f>
        <v/>
      </c>
      <c r="AF53" s="53" t="str">
        <f>IF(AND('Mapa final'!$AA$45="Muy Baja",'Mapa final'!$AC$45="Mayor"),CONCATENATE("R8C",'Mapa final'!$Q$45),"")</f>
        <v/>
      </c>
      <c r="AG53" s="54" t="str">
        <f>IF(AND('Mapa final'!$AA$46="Muy Baja",'Mapa final'!$AC$46="Mayor"),CONCATENATE("R8C",'Mapa final'!$Q$46),"")</f>
        <v/>
      </c>
      <c r="AH53" s="55" t="str">
        <f>IF(AND('Mapa final'!$AA$41="Muy Baja",'Mapa final'!$AC$41="Catastrófico"),CONCATENATE("R8C",'Mapa final'!$Q$41),"")</f>
        <v/>
      </c>
      <c r="AI53" s="56" t="str">
        <f>IF(AND('Mapa final'!$AA$42="Muy Baja",'Mapa final'!$AC$42="Catastrófico"),CONCATENATE("R8C",'Mapa final'!$Q$42),"")</f>
        <v/>
      </c>
      <c r="AJ53" s="56" t="str">
        <f>IF(AND('Mapa final'!$AA$43="Muy Baja",'Mapa final'!$AC$43="Catastrófico"),CONCATENATE("R8C",'Mapa final'!$Q$43),"")</f>
        <v/>
      </c>
      <c r="AK53" s="56" t="str">
        <f>IF(AND('Mapa final'!$AA$44="Muy Baja",'Mapa final'!$AC$44="Catastrófico"),CONCATENATE("R8C",'Mapa final'!$Q$44),"")</f>
        <v/>
      </c>
      <c r="AL53" s="56" t="str">
        <f>IF(AND('Mapa final'!$AA$45="Muy Baja",'Mapa final'!$AC$45="Catastrófico"),CONCATENATE("R8C",'Mapa final'!$Q$45),"")</f>
        <v/>
      </c>
      <c r="AM53" s="57" t="str">
        <f>IF(AND('Mapa final'!$AA$46="Muy Baja",'Mapa final'!$AC$46="Catastrófico"),CONCATENATE("R8C",'Mapa final'!$Q$46),"")</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5">
      <c r="A54" s="83"/>
      <c r="B54" s="304"/>
      <c r="C54" s="304"/>
      <c r="D54" s="305"/>
      <c r="E54" s="345"/>
      <c r="F54" s="346"/>
      <c r="G54" s="346"/>
      <c r="H54" s="346"/>
      <c r="I54" s="347"/>
      <c r="J54" s="76" t="str">
        <f>IF(AND('Mapa final'!$AA$47="Muy Baja",'Mapa final'!$AC$47="Leve"),CONCATENATE("R9C",'Mapa final'!$Q$47),"")</f>
        <v/>
      </c>
      <c r="K54" s="77" t="str">
        <f>IF(AND('Mapa final'!$AA$48="Muy Baja",'Mapa final'!$AC$48="Leve"),CONCATENATE("R9C",'Mapa final'!$Q$48),"")</f>
        <v/>
      </c>
      <c r="L54" s="77" t="str">
        <f>IF(AND('Mapa final'!$AA$49="Muy Baja",'Mapa final'!$AC$49="Leve"),CONCATENATE("R9C",'Mapa final'!$Q$49),"")</f>
        <v/>
      </c>
      <c r="M54" s="77" t="str">
        <f>IF(AND('Mapa final'!$AA$50="Muy Baja",'Mapa final'!$AC$50="Leve"),CONCATENATE("R9C",'Mapa final'!$Q$50),"")</f>
        <v/>
      </c>
      <c r="N54" s="77" t="str">
        <f>IF(AND('Mapa final'!$AA$51="Muy Baja",'Mapa final'!$AC$51="Leve"),CONCATENATE("R9C",'Mapa final'!$Q$51),"")</f>
        <v/>
      </c>
      <c r="O54" s="78" t="str">
        <f>IF(AND('Mapa final'!$AA$52="Muy Baja",'Mapa final'!$AC$52="Leve"),CONCATENATE("R9C",'Mapa final'!$Q$52),"")</f>
        <v/>
      </c>
      <c r="P54" s="76" t="str">
        <f>IF(AND('Mapa final'!$AA$47="Muy Baja",'Mapa final'!$AC$47="Menor"),CONCATENATE("R9C",'Mapa final'!$Q$47),"")</f>
        <v/>
      </c>
      <c r="Q54" s="77" t="str">
        <f>IF(AND('Mapa final'!$AA$48="Muy Baja",'Mapa final'!$AC$48="Menor"),CONCATENATE("R9C",'Mapa final'!$Q$48),"")</f>
        <v/>
      </c>
      <c r="R54" s="77" t="str">
        <f>IF(AND('Mapa final'!$AA$49="Muy Baja",'Mapa final'!$AC$49="Menor"),CONCATENATE("R9C",'Mapa final'!$Q$49),"")</f>
        <v/>
      </c>
      <c r="S54" s="77" t="str">
        <f>IF(AND('Mapa final'!$AA$50="Muy Baja",'Mapa final'!$AC$50="Menor"),CONCATENATE("R9C",'Mapa final'!$Q$50),"")</f>
        <v/>
      </c>
      <c r="T54" s="77" t="str">
        <f>IF(AND('Mapa final'!$AA$51="Muy Baja",'Mapa final'!$AC$51="Menor"),CONCATENATE("R9C",'Mapa final'!$Q$51),"")</f>
        <v/>
      </c>
      <c r="U54" s="78" t="str">
        <f>IF(AND('Mapa final'!$AA$52="Muy Baja",'Mapa final'!$AC$52="Menor"),CONCATENATE("R9C",'Mapa final'!$Q$52),"")</f>
        <v/>
      </c>
      <c r="V54" s="67" t="str">
        <f>IF(AND('Mapa final'!$AA$47="Muy Baja",'Mapa final'!$AC$47="Moderado"),CONCATENATE("R9C",'Mapa final'!$Q$47),"")</f>
        <v/>
      </c>
      <c r="W54" s="68" t="str">
        <f>IF(AND('Mapa final'!$AA$48="Muy Baja",'Mapa final'!$AC$48="Moderado"),CONCATENATE("R9C",'Mapa final'!$Q$48),"")</f>
        <v/>
      </c>
      <c r="X54" s="68" t="str">
        <f>IF(AND('Mapa final'!$AA$49="Muy Baja",'Mapa final'!$AC$49="Moderado"),CONCATENATE("R9C",'Mapa final'!$Q$49),"")</f>
        <v/>
      </c>
      <c r="Y54" s="68" t="str">
        <f>IF(AND('Mapa final'!$AA$50="Muy Baja",'Mapa final'!$AC$50="Moderado"),CONCATENATE("R9C",'Mapa final'!$Q$50),"")</f>
        <v/>
      </c>
      <c r="Z54" s="68" t="str">
        <f>IF(AND('Mapa final'!$AA$51="Muy Baja",'Mapa final'!$AC$51="Moderado"),CONCATENATE("R9C",'Mapa final'!$Q$51),"")</f>
        <v/>
      </c>
      <c r="AA54" s="69" t="str">
        <f>IF(AND('Mapa final'!$AA$52="Muy Baja",'Mapa final'!$AC$52="Moderado"),CONCATENATE("R9C",'Mapa final'!$Q$52),"")</f>
        <v/>
      </c>
      <c r="AB54" s="52" t="str">
        <f>IF(AND('Mapa final'!$AA$47="Muy Baja",'Mapa final'!$AC$47="Mayor"),CONCATENATE("R9C",'Mapa final'!$Q$47),"")</f>
        <v/>
      </c>
      <c r="AC54" s="53" t="str">
        <f>IF(AND('Mapa final'!$AA$48="Muy Baja",'Mapa final'!$AC$48="Mayor"),CONCATENATE("R9C",'Mapa final'!$Q$48),"")</f>
        <v/>
      </c>
      <c r="AD54" s="53" t="str">
        <f>IF(AND('Mapa final'!$AA$49="Muy Baja",'Mapa final'!$AC$49="Mayor"),CONCATENATE("R9C",'Mapa final'!$Q$49),"")</f>
        <v/>
      </c>
      <c r="AE54" s="53" t="str">
        <f>IF(AND('Mapa final'!$AA$50="Muy Baja",'Mapa final'!$AC$50="Mayor"),CONCATENATE("R9C",'Mapa final'!$Q$50),"")</f>
        <v/>
      </c>
      <c r="AF54" s="53" t="str">
        <f>IF(AND('Mapa final'!$AA$51="Muy Baja",'Mapa final'!$AC$51="Mayor"),CONCATENATE("R9C",'Mapa final'!$Q$51),"")</f>
        <v/>
      </c>
      <c r="AG54" s="54" t="str">
        <f>IF(AND('Mapa final'!$AA$52="Muy Baja",'Mapa final'!$AC$52="Mayor"),CONCATENATE("R9C",'Mapa final'!$Q$52),"")</f>
        <v/>
      </c>
      <c r="AH54" s="55" t="str">
        <f>IF(AND('Mapa final'!$AA$47="Muy Baja",'Mapa final'!$AC$47="Catastrófico"),CONCATENATE("R9C",'Mapa final'!$Q$47),"")</f>
        <v/>
      </c>
      <c r="AI54" s="56" t="str">
        <f>IF(AND('Mapa final'!$AA$48="Muy Baja",'Mapa final'!$AC$48="Catastrófico"),CONCATENATE("R9C",'Mapa final'!$Q$48),"")</f>
        <v/>
      </c>
      <c r="AJ54" s="56" t="str">
        <f>IF(AND('Mapa final'!$AA$49="Muy Baja",'Mapa final'!$AC$49="Catastrófico"),CONCATENATE("R9C",'Mapa final'!$Q$49),"")</f>
        <v/>
      </c>
      <c r="AK54" s="56" t="str">
        <f>IF(AND('Mapa final'!$AA$50="Muy Baja",'Mapa final'!$AC$50="Catastrófico"),CONCATENATE("R9C",'Mapa final'!$Q$50),"")</f>
        <v/>
      </c>
      <c r="AL54" s="56" t="str">
        <f>IF(AND('Mapa final'!$AA$51="Muy Baja",'Mapa final'!$AC$51="Catastrófico"),CONCATENATE("R9C",'Mapa final'!$Q$51),"")</f>
        <v/>
      </c>
      <c r="AM54" s="57" t="str">
        <f>IF(AND('Mapa final'!$AA$52="Muy Baja",'Mapa final'!$AC$52="Catastrófico"),CONCATENATE("R9C",'Mapa final'!$Q$52),"")</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4">
      <c r="A55" s="83"/>
      <c r="B55" s="304"/>
      <c r="C55" s="304"/>
      <c r="D55" s="305"/>
      <c r="E55" s="348"/>
      <c r="F55" s="349"/>
      <c r="G55" s="349"/>
      <c r="H55" s="349"/>
      <c r="I55" s="350"/>
      <c r="J55" s="79" t="str">
        <f>IF(AND('Mapa final'!$AA$53="Muy Baja",'Mapa final'!$AC$53="Leve"),CONCATENATE("R10C",'Mapa final'!$Q$53),"")</f>
        <v/>
      </c>
      <c r="K55" s="80" t="str">
        <f>IF(AND('Mapa final'!$AA$54="Muy Baja",'Mapa final'!$AC$54="Leve"),CONCATENATE("R10C",'Mapa final'!$Q$54),"")</f>
        <v/>
      </c>
      <c r="L55" s="80" t="str">
        <f>IF(AND('Mapa final'!$AA$55="Muy Baja",'Mapa final'!$AC$55="Leve"),CONCATENATE("R10C",'Mapa final'!$Q$55),"")</f>
        <v/>
      </c>
      <c r="M55" s="80" t="str">
        <f>IF(AND('Mapa final'!$AA$56="Muy Baja",'Mapa final'!$AC$56="Leve"),CONCATENATE("R10C",'Mapa final'!$Q$56),"")</f>
        <v/>
      </c>
      <c r="N55" s="80" t="str">
        <f>IF(AND('Mapa final'!$AA$57="Muy Baja",'Mapa final'!$AC$57="Leve"),CONCATENATE("R10C",'Mapa final'!$Q$57),"")</f>
        <v/>
      </c>
      <c r="O55" s="81" t="str">
        <f>IF(AND('Mapa final'!$AA$58="Muy Baja",'Mapa final'!$AC$58="Leve"),CONCATENATE("R10C",'Mapa final'!$Q$58),"")</f>
        <v/>
      </c>
      <c r="P55" s="79" t="str">
        <f>IF(AND('Mapa final'!$AA$53="Muy Baja",'Mapa final'!$AC$53="Menor"),CONCATENATE("R10C",'Mapa final'!$Q$53),"")</f>
        <v/>
      </c>
      <c r="Q55" s="80" t="str">
        <f>IF(AND('Mapa final'!$AA$54="Muy Baja",'Mapa final'!$AC$54="Menor"),CONCATENATE("R10C",'Mapa final'!$Q$54),"")</f>
        <v/>
      </c>
      <c r="R55" s="80" t="str">
        <f>IF(AND('Mapa final'!$AA$55="Muy Baja",'Mapa final'!$AC$55="Menor"),CONCATENATE("R10C",'Mapa final'!$Q$55),"")</f>
        <v/>
      </c>
      <c r="S55" s="80" t="str">
        <f>IF(AND('Mapa final'!$AA$56="Muy Baja",'Mapa final'!$AC$56="Menor"),CONCATENATE("R10C",'Mapa final'!$Q$56),"")</f>
        <v/>
      </c>
      <c r="T55" s="80" t="str">
        <f>IF(AND('Mapa final'!$AA$57="Muy Baja",'Mapa final'!$AC$57="Menor"),CONCATENATE("R10C",'Mapa final'!$Q$57),"")</f>
        <v/>
      </c>
      <c r="U55" s="81" t="str">
        <f>IF(AND('Mapa final'!$AA$58="Muy Baja",'Mapa final'!$AC$58="Menor"),CONCATENATE("R10C",'Mapa final'!$Q$58),"")</f>
        <v/>
      </c>
      <c r="V55" s="70" t="str">
        <f>IF(AND('Mapa final'!$AA$53="Muy Baja",'Mapa final'!$AC$53="Moderado"),CONCATENATE("R10C",'Mapa final'!$Q$53),"")</f>
        <v/>
      </c>
      <c r="W55" s="71" t="str">
        <f>IF(AND('Mapa final'!$AA$54="Muy Baja",'Mapa final'!$AC$54="Moderado"),CONCATENATE("R10C",'Mapa final'!$Q$54),"")</f>
        <v/>
      </c>
      <c r="X55" s="71" t="str">
        <f>IF(AND('Mapa final'!$AA$55="Muy Baja",'Mapa final'!$AC$55="Moderado"),CONCATENATE("R10C",'Mapa final'!$Q$55),"")</f>
        <v/>
      </c>
      <c r="Y55" s="71" t="str">
        <f>IF(AND('Mapa final'!$AA$56="Muy Baja",'Mapa final'!$AC$56="Moderado"),CONCATENATE("R10C",'Mapa final'!$Q$56),"")</f>
        <v/>
      </c>
      <c r="Z55" s="71" t="str">
        <f>IF(AND('Mapa final'!$AA$57="Muy Baja",'Mapa final'!$AC$57="Moderado"),CONCATENATE("R10C",'Mapa final'!$Q$57),"")</f>
        <v/>
      </c>
      <c r="AA55" s="72" t="str">
        <f>IF(AND('Mapa final'!$AA$58="Muy Baja",'Mapa final'!$AC$58="Moderado"),CONCATENATE("R10C",'Mapa final'!$Q$58),"")</f>
        <v/>
      </c>
      <c r="AB55" s="58" t="str">
        <f>IF(AND('Mapa final'!$AA$53="Muy Baja",'Mapa final'!$AC$53="Mayor"),CONCATENATE("R10C",'Mapa final'!$Q$53),"")</f>
        <v/>
      </c>
      <c r="AC55" s="59" t="str">
        <f>IF(AND('Mapa final'!$AA$54="Muy Baja",'Mapa final'!$AC$54="Mayor"),CONCATENATE("R10C",'Mapa final'!$Q$54),"")</f>
        <v/>
      </c>
      <c r="AD55" s="59" t="str">
        <f>IF(AND('Mapa final'!$AA$55="Muy Baja",'Mapa final'!$AC$55="Mayor"),CONCATENATE("R10C",'Mapa final'!$Q$55),"")</f>
        <v/>
      </c>
      <c r="AE55" s="59" t="str">
        <f>IF(AND('Mapa final'!$AA$56="Muy Baja",'Mapa final'!$AC$56="Mayor"),CONCATENATE("R10C",'Mapa final'!$Q$56),"")</f>
        <v/>
      </c>
      <c r="AF55" s="59" t="str">
        <f>IF(AND('Mapa final'!$AA$57="Muy Baja",'Mapa final'!$AC$57="Mayor"),CONCATENATE("R10C",'Mapa final'!$Q$57),"")</f>
        <v/>
      </c>
      <c r="AG55" s="60" t="str">
        <f>IF(AND('Mapa final'!$AA$58="Muy Baja",'Mapa final'!$AC$58="Mayor"),CONCATENATE("R10C",'Mapa final'!$Q$58),"")</f>
        <v/>
      </c>
      <c r="AH55" s="61" t="str">
        <f>IF(AND('Mapa final'!$AA$53="Muy Baja",'Mapa final'!$AC$53="Catastrófico"),CONCATENATE("R10C",'Mapa final'!$Q$53),"")</f>
        <v/>
      </c>
      <c r="AI55" s="62" t="str">
        <f>IF(AND('Mapa final'!$AA$54="Muy Baja",'Mapa final'!$AC$54="Catastrófico"),CONCATENATE("R10C",'Mapa final'!$Q$54),"")</f>
        <v/>
      </c>
      <c r="AJ55" s="62" t="str">
        <f>IF(AND('Mapa final'!$AA$55="Muy Baja",'Mapa final'!$AC$55="Catastrófico"),CONCATENATE("R10C",'Mapa final'!$Q$55),"")</f>
        <v/>
      </c>
      <c r="AK55" s="62" t="str">
        <f>IF(AND('Mapa final'!$AA$56="Muy Baja",'Mapa final'!$AC$56="Catastrófico"),CONCATENATE("R10C",'Mapa final'!$Q$56),"")</f>
        <v/>
      </c>
      <c r="AL55" s="62" t="str">
        <f>IF(AND('Mapa final'!$AA$57="Muy Baja",'Mapa final'!$AC$57="Catastrófico"),CONCATENATE("R10C",'Mapa final'!$Q$57),"")</f>
        <v/>
      </c>
      <c r="AM55" s="63" t="str">
        <f>IF(AND('Mapa final'!$AA$58="Muy Baja",'Mapa final'!$AC$58="Catastrófico"),CONCATENATE("R10C",'Mapa final'!$Q$58),"")</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5">
      <c r="A56" s="83"/>
      <c r="B56" s="83"/>
      <c r="C56" s="83"/>
      <c r="D56" s="83"/>
      <c r="E56" s="83"/>
      <c r="F56" s="83"/>
      <c r="G56" s="83"/>
      <c r="H56" s="83"/>
      <c r="I56" s="83"/>
      <c r="J56" s="342" t="s">
        <v>104</v>
      </c>
      <c r="K56" s="343"/>
      <c r="L56" s="343"/>
      <c r="M56" s="343"/>
      <c r="N56" s="343"/>
      <c r="O56" s="344"/>
      <c r="P56" s="342" t="s">
        <v>103</v>
      </c>
      <c r="Q56" s="343"/>
      <c r="R56" s="343"/>
      <c r="S56" s="343"/>
      <c r="T56" s="343"/>
      <c r="U56" s="344"/>
      <c r="V56" s="342" t="s">
        <v>102</v>
      </c>
      <c r="W56" s="343"/>
      <c r="X56" s="343"/>
      <c r="Y56" s="343"/>
      <c r="Z56" s="343"/>
      <c r="AA56" s="344"/>
      <c r="AB56" s="342" t="s">
        <v>101</v>
      </c>
      <c r="AC56" s="351"/>
      <c r="AD56" s="343"/>
      <c r="AE56" s="343"/>
      <c r="AF56" s="343"/>
      <c r="AG56" s="344"/>
      <c r="AH56" s="342" t="s">
        <v>100</v>
      </c>
      <c r="AI56" s="343"/>
      <c r="AJ56" s="343"/>
      <c r="AK56" s="343"/>
      <c r="AL56" s="343"/>
      <c r="AM56" s="34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5">
      <c r="A57" s="83"/>
      <c r="B57" s="83"/>
      <c r="C57" s="83"/>
      <c r="D57" s="83"/>
      <c r="E57" s="83"/>
      <c r="F57" s="83"/>
      <c r="G57" s="83"/>
      <c r="H57" s="83"/>
      <c r="I57" s="83"/>
      <c r="J57" s="345"/>
      <c r="K57" s="346"/>
      <c r="L57" s="346"/>
      <c r="M57" s="346"/>
      <c r="N57" s="346"/>
      <c r="O57" s="347"/>
      <c r="P57" s="345"/>
      <c r="Q57" s="346"/>
      <c r="R57" s="346"/>
      <c r="S57" s="346"/>
      <c r="T57" s="346"/>
      <c r="U57" s="347"/>
      <c r="V57" s="345"/>
      <c r="W57" s="346"/>
      <c r="X57" s="346"/>
      <c r="Y57" s="346"/>
      <c r="Z57" s="346"/>
      <c r="AA57" s="347"/>
      <c r="AB57" s="345"/>
      <c r="AC57" s="346"/>
      <c r="AD57" s="346"/>
      <c r="AE57" s="346"/>
      <c r="AF57" s="346"/>
      <c r="AG57" s="347"/>
      <c r="AH57" s="345"/>
      <c r="AI57" s="346"/>
      <c r="AJ57" s="346"/>
      <c r="AK57" s="346"/>
      <c r="AL57" s="346"/>
      <c r="AM57" s="34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5">
      <c r="A58" s="83"/>
      <c r="B58" s="83"/>
      <c r="C58" s="83"/>
      <c r="D58" s="83"/>
      <c r="E58" s="83"/>
      <c r="F58" s="83"/>
      <c r="G58" s="83"/>
      <c r="H58" s="83"/>
      <c r="I58" s="83"/>
      <c r="J58" s="345"/>
      <c r="K58" s="346"/>
      <c r="L58" s="346"/>
      <c r="M58" s="346"/>
      <c r="N58" s="346"/>
      <c r="O58" s="347"/>
      <c r="P58" s="345"/>
      <c r="Q58" s="346"/>
      <c r="R58" s="346"/>
      <c r="S58" s="346"/>
      <c r="T58" s="346"/>
      <c r="U58" s="347"/>
      <c r="V58" s="345"/>
      <c r="W58" s="346"/>
      <c r="X58" s="346"/>
      <c r="Y58" s="346"/>
      <c r="Z58" s="346"/>
      <c r="AA58" s="347"/>
      <c r="AB58" s="345"/>
      <c r="AC58" s="346"/>
      <c r="AD58" s="346"/>
      <c r="AE58" s="346"/>
      <c r="AF58" s="346"/>
      <c r="AG58" s="347"/>
      <c r="AH58" s="345"/>
      <c r="AI58" s="346"/>
      <c r="AJ58" s="346"/>
      <c r="AK58" s="346"/>
      <c r="AL58" s="346"/>
      <c r="AM58" s="34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5">
      <c r="A59" s="83"/>
      <c r="B59" s="83"/>
      <c r="C59" s="83"/>
      <c r="D59" s="83"/>
      <c r="E59" s="83"/>
      <c r="F59" s="83"/>
      <c r="G59" s="83"/>
      <c r="H59" s="83"/>
      <c r="I59" s="83"/>
      <c r="J59" s="345"/>
      <c r="K59" s="346"/>
      <c r="L59" s="346"/>
      <c r="M59" s="346"/>
      <c r="N59" s="346"/>
      <c r="O59" s="347"/>
      <c r="P59" s="345"/>
      <c r="Q59" s="346"/>
      <c r="R59" s="346"/>
      <c r="S59" s="346"/>
      <c r="T59" s="346"/>
      <c r="U59" s="347"/>
      <c r="V59" s="345"/>
      <c r="W59" s="346"/>
      <c r="X59" s="346"/>
      <c r="Y59" s="346"/>
      <c r="Z59" s="346"/>
      <c r="AA59" s="347"/>
      <c r="AB59" s="345"/>
      <c r="AC59" s="346"/>
      <c r="AD59" s="346"/>
      <c r="AE59" s="346"/>
      <c r="AF59" s="346"/>
      <c r="AG59" s="347"/>
      <c r="AH59" s="345"/>
      <c r="AI59" s="346"/>
      <c r="AJ59" s="346"/>
      <c r="AK59" s="346"/>
      <c r="AL59" s="346"/>
      <c r="AM59" s="34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5">
      <c r="A60" s="83"/>
      <c r="B60" s="83"/>
      <c r="C60" s="83"/>
      <c r="D60" s="83"/>
      <c r="E60" s="83"/>
      <c r="F60" s="83"/>
      <c r="G60" s="83"/>
      <c r="H60" s="83"/>
      <c r="I60" s="83"/>
      <c r="J60" s="345"/>
      <c r="K60" s="346"/>
      <c r="L60" s="346"/>
      <c r="M60" s="346"/>
      <c r="N60" s="346"/>
      <c r="O60" s="347"/>
      <c r="P60" s="345"/>
      <c r="Q60" s="346"/>
      <c r="R60" s="346"/>
      <c r="S60" s="346"/>
      <c r="T60" s="346"/>
      <c r="U60" s="347"/>
      <c r="V60" s="345"/>
      <c r="W60" s="346"/>
      <c r="X60" s="346"/>
      <c r="Y60" s="346"/>
      <c r="Z60" s="346"/>
      <c r="AA60" s="347"/>
      <c r="AB60" s="345"/>
      <c r="AC60" s="346"/>
      <c r="AD60" s="346"/>
      <c r="AE60" s="346"/>
      <c r="AF60" s="346"/>
      <c r="AG60" s="347"/>
      <c r="AH60" s="345"/>
      <c r="AI60" s="346"/>
      <c r="AJ60" s="346"/>
      <c r="AK60" s="346"/>
      <c r="AL60" s="346"/>
      <c r="AM60" s="34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x14ac:dyDescent="0.4">
      <c r="A61" s="83"/>
      <c r="B61" s="83"/>
      <c r="C61" s="83"/>
      <c r="D61" s="83"/>
      <c r="E61" s="83"/>
      <c r="F61" s="83"/>
      <c r="G61" s="83"/>
      <c r="H61" s="83"/>
      <c r="I61" s="83"/>
      <c r="J61" s="348"/>
      <c r="K61" s="349"/>
      <c r="L61" s="349"/>
      <c r="M61" s="349"/>
      <c r="N61" s="349"/>
      <c r="O61" s="350"/>
      <c r="P61" s="348"/>
      <c r="Q61" s="349"/>
      <c r="R61" s="349"/>
      <c r="S61" s="349"/>
      <c r="T61" s="349"/>
      <c r="U61" s="350"/>
      <c r="V61" s="348"/>
      <c r="W61" s="349"/>
      <c r="X61" s="349"/>
      <c r="Y61" s="349"/>
      <c r="Z61" s="349"/>
      <c r="AA61" s="350"/>
      <c r="AB61" s="348"/>
      <c r="AC61" s="349"/>
      <c r="AD61" s="349"/>
      <c r="AE61" s="349"/>
      <c r="AF61" s="349"/>
      <c r="AG61" s="350"/>
      <c r="AH61" s="348"/>
      <c r="AI61" s="349"/>
      <c r="AJ61" s="349"/>
      <c r="AK61" s="349"/>
      <c r="AL61" s="349"/>
      <c r="AM61" s="35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3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3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3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3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3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3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3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3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3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3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3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3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3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3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3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3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3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3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3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3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3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3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3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3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3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3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3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3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3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3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3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3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3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3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3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3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3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3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3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3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3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3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3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3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3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3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3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3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3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3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3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3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3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3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3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3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3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3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3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3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3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3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3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3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3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3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3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3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3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3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3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3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3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3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3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3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3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3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3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3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3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3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3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3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3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3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3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3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3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3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3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3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3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3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3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3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3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3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3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3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3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3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3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3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3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3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3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3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3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3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3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3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3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3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3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3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3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3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3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3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3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3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3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3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3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3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3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3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3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3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3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3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3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3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3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3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3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3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3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3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3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3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3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3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3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3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3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3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3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3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3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3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3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3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3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3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3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3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3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3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3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3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3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3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3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3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3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3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3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3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3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3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3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3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3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3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3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3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3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3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3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3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35">
      <c r="A245" s="83"/>
    </row>
    <row r="246" spans="1:60" x14ac:dyDescent="0.35">
      <c r="A246" s="83"/>
    </row>
    <row r="247" spans="1:60" x14ac:dyDescent="0.35">
      <c r="A247" s="83"/>
    </row>
    <row r="248" spans="1:60" x14ac:dyDescent="0.3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8" sqref="B8"/>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83"/>
      <c r="B1" s="391" t="s">
        <v>53</v>
      </c>
      <c r="C1" s="391"/>
      <c r="D1" s="39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3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 x14ac:dyDescent="0.35">
      <c r="A3" s="83"/>
      <c r="B3" s="11"/>
      <c r="C3" s="12" t="s">
        <v>50</v>
      </c>
      <c r="D3" s="12" t="s">
        <v>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 x14ac:dyDescent="0.35">
      <c r="A4" s="83"/>
      <c r="B4" s="13" t="s">
        <v>49</v>
      </c>
      <c r="C4" s="14" t="s">
        <v>206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 x14ac:dyDescent="0.35">
      <c r="A5" s="83"/>
      <c r="B5" s="16" t="s">
        <v>51</v>
      </c>
      <c r="C5" s="17" t="s">
        <v>207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 x14ac:dyDescent="0.35">
      <c r="A6" s="83"/>
      <c r="B6" s="19" t="s">
        <v>99</v>
      </c>
      <c r="C6" s="17" t="s">
        <v>208</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 x14ac:dyDescent="0.35">
      <c r="A7" s="83"/>
      <c r="B7" s="20" t="s">
        <v>5</v>
      </c>
      <c r="C7" s="17" t="s">
        <v>209</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 x14ac:dyDescent="0.35">
      <c r="A8" s="83"/>
      <c r="B8" s="21" t="s">
        <v>52</v>
      </c>
      <c r="C8" s="17" t="s">
        <v>210</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3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3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3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3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3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3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3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3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3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3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3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3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3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3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3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3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3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3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3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3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3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3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3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3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3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3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35">
      <c r="A35" s="83"/>
    </row>
    <row r="36" spans="1:31" x14ac:dyDescent="0.35">
      <c r="A36" s="83"/>
    </row>
    <row r="37" spans="1:31" x14ac:dyDescent="0.35">
      <c r="A37" s="83"/>
    </row>
    <row r="38" spans="1:31" x14ac:dyDescent="0.35">
      <c r="A38" s="83"/>
    </row>
    <row r="39" spans="1:31" x14ac:dyDescent="0.35">
      <c r="A39" s="83"/>
    </row>
    <row r="40" spans="1:31" x14ac:dyDescent="0.35">
      <c r="A40" s="83"/>
    </row>
    <row r="41" spans="1:31" x14ac:dyDescent="0.35">
      <c r="A41" s="83"/>
    </row>
    <row r="42" spans="1:31" x14ac:dyDescent="0.35">
      <c r="A42" s="83"/>
    </row>
    <row r="43" spans="1:31" x14ac:dyDescent="0.35">
      <c r="A43" s="83"/>
    </row>
    <row r="44" spans="1:31" x14ac:dyDescent="0.35">
      <c r="A44" s="83"/>
    </row>
    <row r="45" spans="1:31" x14ac:dyDescent="0.35">
      <c r="A45" s="83"/>
    </row>
    <row r="46" spans="1:31" x14ac:dyDescent="0.35">
      <c r="A46" s="83"/>
    </row>
    <row r="47" spans="1:31" x14ac:dyDescent="0.35">
      <c r="A47" s="83"/>
    </row>
    <row r="48" spans="1:31" x14ac:dyDescent="0.35">
      <c r="A48" s="83"/>
    </row>
    <row r="49" spans="1:1" x14ac:dyDescent="0.35">
      <c r="A49" s="83"/>
    </row>
    <row r="50" spans="1:1" x14ac:dyDescent="0.35">
      <c r="A50" s="83"/>
    </row>
    <row r="51" spans="1:1" x14ac:dyDescent="0.35">
      <c r="A51" s="83"/>
    </row>
    <row r="52" spans="1:1" x14ac:dyDescent="0.35">
      <c r="A52" s="83"/>
    </row>
    <row r="53" spans="1:1" x14ac:dyDescent="0.35">
      <c r="A53" s="83"/>
    </row>
    <row r="54" spans="1:1" x14ac:dyDescent="0.35">
      <c r="A54" s="83"/>
    </row>
    <row r="55" spans="1:1" x14ac:dyDescent="0.3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A210" sqref="A210"/>
    </sheetView>
  </sheetViews>
  <sheetFormatPr baseColWidth="10" defaultRowHeight="14.5" x14ac:dyDescent="0.35"/>
  <cols>
    <col min="2" max="2" width="40.453125" customWidth="1"/>
    <col min="3" max="3" width="74.81640625" customWidth="1"/>
    <col min="4" max="4" width="126.26953125" bestFit="1" customWidth="1"/>
    <col min="5" max="5" width="12.54296875" bestFit="1" customWidth="1"/>
    <col min="6" max="6" width="144.7265625" bestFit="1" customWidth="1"/>
    <col min="7" max="7" width="47.1796875" bestFit="1" customWidth="1"/>
    <col min="8" max="8" width="125.1796875" bestFit="1" customWidth="1"/>
    <col min="9" max="9" width="146.26953125" bestFit="1" customWidth="1"/>
    <col min="10" max="10" width="52.1796875" bestFit="1" customWidth="1"/>
    <col min="11" max="11" width="147.54296875" bestFit="1" customWidth="1"/>
    <col min="12" max="12" width="16.54296875" bestFit="1" customWidth="1"/>
  </cols>
  <sheetData>
    <row r="1" spans="1:21" ht="32.5" x14ac:dyDescent="0.35">
      <c r="A1" s="83"/>
      <c r="B1" s="392" t="s">
        <v>61</v>
      </c>
      <c r="C1" s="392"/>
      <c r="D1" s="392"/>
      <c r="E1" s="83"/>
      <c r="F1" s="83"/>
      <c r="G1" s="83"/>
      <c r="H1" s="83"/>
      <c r="I1" s="83"/>
      <c r="J1" s="83"/>
      <c r="K1" s="83"/>
      <c r="L1" s="83"/>
      <c r="M1" s="83"/>
      <c r="N1" s="83"/>
      <c r="O1" s="83"/>
      <c r="P1" s="83"/>
      <c r="Q1" s="83"/>
      <c r="R1" s="83"/>
      <c r="S1" s="83"/>
      <c r="T1" s="83"/>
      <c r="U1" s="83"/>
    </row>
    <row r="2" spans="1:21" x14ac:dyDescent="0.35">
      <c r="A2" s="83"/>
      <c r="B2" s="83"/>
      <c r="C2" s="83"/>
      <c r="D2" s="83"/>
      <c r="E2" s="83"/>
      <c r="F2" s="83"/>
      <c r="G2" s="83"/>
      <c r="H2" s="83"/>
      <c r="I2" s="83"/>
      <c r="J2" s="83"/>
      <c r="K2" s="83"/>
      <c r="L2" s="83"/>
      <c r="M2" s="83"/>
      <c r="N2" s="83"/>
      <c r="O2" s="83"/>
      <c r="P2" s="83"/>
      <c r="Q2" s="83"/>
      <c r="R2" s="83"/>
      <c r="S2" s="83"/>
      <c r="T2" s="83"/>
      <c r="U2" s="83"/>
    </row>
    <row r="3" spans="1:21" ht="30.5" x14ac:dyDescent="0.35">
      <c r="A3" s="83"/>
      <c r="B3" s="104"/>
      <c r="C3" s="36" t="s">
        <v>54</v>
      </c>
      <c r="D3" s="36" t="s">
        <v>55</v>
      </c>
      <c r="E3" s="83"/>
      <c r="F3" s="83"/>
      <c r="G3" s="83"/>
      <c r="H3" s="83"/>
      <c r="I3" s="83"/>
      <c r="J3" s="83"/>
      <c r="K3" s="83"/>
      <c r="L3" s="83"/>
      <c r="M3" s="83"/>
      <c r="N3" s="83"/>
      <c r="O3" s="83"/>
      <c r="P3" s="83"/>
      <c r="Q3" s="83"/>
      <c r="R3" s="83"/>
      <c r="S3" s="83"/>
      <c r="T3" s="83"/>
      <c r="U3" s="83"/>
    </row>
    <row r="4" spans="1:21" ht="32.5" x14ac:dyDescent="0.35">
      <c r="A4" s="103" t="s">
        <v>80</v>
      </c>
      <c r="B4" s="39" t="s">
        <v>98</v>
      </c>
      <c r="C4" s="44" t="s">
        <v>141</v>
      </c>
      <c r="D4" s="37" t="s">
        <v>94</v>
      </c>
      <c r="E4" s="83"/>
      <c r="F4" s="83"/>
      <c r="G4" s="83"/>
      <c r="H4" s="83"/>
      <c r="I4" s="83"/>
      <c r="J4" s="83"/>
      <c r="K4" s="83"/>
      <c r="L4" s="83"/>
      <c r="M4" s="83"/>
      <c r="N4" s="83"/>
      <c r="O4" s="83"/>
      <c r="P4" s="83"/>
      <c r="Q4" s="83"/>
      <c r="R4" s="83"/>
      <c r="S4" s="83"/>
      <c r="T4" s="83"/>
      <c r="U4" s="83"/>
    </row>
    <row r="5" spans="1:21" ht="97.5" x14ac:dyDescent="0.35">
      <c r="A5" s="103" t="s">
        <v>81</v>
      </c>
      <c r="B5" s="40" t="s">
        <v>57</v>
      </c>
      <c r="C5" s="45" t="s">
        <v>90</v>
      </c>
      <c r="D5" s="38" t="s">
        <v>95</v>
      </c>
      <c r="E5" s="83"/>
      <c r="F5" s="83"/>
      <c r="G5" s="83"/>
      <c r="H5" s="83"/>
      <c r="I5" s="83"/>
      <c r="J5" s="83"/>
      <c r="K5" s="83"/>
      <c r="L5" s="83"/>
      <c r="M5" s="83"/>
      <c r="N5" s="83"/>
      <c r="O5" s="83"/>
      <c r="P5" s="83"/>
      <c r="Q5" s="83"/>
      <c r="R5" s="83"/>
      <c r="S5" s="83"/>
      <c r="T5" s="83"/>
      <c r="U5" s="83"/>
    </row>
    <row r="6" spans="1:21" ht="65" x14ac:dyDescent="0.35">
      <c r="A6" s="103" t="s">
        <v>78</v>
      </c>
      <c r="B6" s="41" t="s">
        <v>58</v>
      </c>
      <c r="C6" s="45" t="s">
        <v>91</v>
      </c>
      <c r="D6" s="38" t="s">
        <v>97</v>
      </c>
      <c r="E6" s="83"/>
      <c r="F6" s="83"/>
      <c r="G6" s="83"/>
      <c r="H6" s="83"/>
      <c r="I6" s="83"/>
      <c r="J6" s="83"/>
      <c r="K6" s="83"/>
      <c r="L6" s="83"/>
      <c r="M6" s="83"/>
      <c r="N6" s="83"/>
      <c r="O6" s="83"/>
      <c r="P6" s="83"/>
      <c r="Q6" s="83"/>
      <c r="R6" s="83"/>
      <c r="S6" s="83"/>
      <c r="T6" s="83"/>
      <c r="U6" s="83"/>
    </row>
    <row r="7" spans="1:21" ht="97.5" x14ac:dyDescent="0.35">
      <c r="A7" s="103" t="s">
        <v>6</v>
      </c>
      <c r="B7" s="42" t="s">
        <v>59</v>
      </c>
      <c r="C7" s="45" t="s">
        <v>92</v>
      </c>
      <c r="D7" s="38" t="s">
        <v>96</v>
      </c>
      <c r="E7" s="83"/>
      <c r="F7" s="83"/>
      <c r="G7" s="83"/>
      <c r="H7" s="83"/>
      <c r="I7" s="83"/>
      <c r="J7" s="83"/>
      <c r="K7" s="83"/>
      <c r="L7" s="83"/>
      <c r="M7" s="83"/>
      <c r="N7" s="83"/>
      <c r="O7" s="83"/>
      <c r="P7" s="83"/>
      <c r="Q7" s="83"/>
      <c r="R7" s="83"/>
      <c r="S7" s="83"/>
      <c r="T7" s="83"/>
      <c r="U7" s="83"/>
    </row>
    <row r="8" spans="1:21" ht="65" x14ac:dyDescent="0.35">
      <c r="A8" s="103" t="s">
        <v>82</v>
      </c>
      <c r="B8" s="43" t="s">
        <v>60</v>
      </c>
      <c r="C8" s="45" t="s">
        <v>93</v>
      </c>
      <c r="D8" s="38" t="s">
        <v>110</v>
      </c>
      <c r="E8" s="83"/>
      <c r="F8" s="83"/>
      <c r="G8" s="83"/>
      <c r="H8" s="83"/>
      <c r="I8" s="83"/>
      <c r="J8" s="83"/>
      <c r="K8" s="83"/>
      <c r="L8" s="83"/>
      <c r="M8" s="83"/>
      <c r="N8" s="83"/>
      <c r="O8" s="83"/>
      <c r="P8" s="83"/>
      <c r="Q8" s="83"/>
      <c r="R8" s="83"/>
      <c r="S8" s="83"/>
      <c r="T8" s="83"/>
      <c r="U8" s="83"/>
    </row>
    <row r="9" spans="1:21" ht="20" x14ac:dyDescent="0.35">
      <c r="A9" s="103"/>
      <c r="B9" s="103"/>
      <c r="C9" s="105"/>
      <c r="D9" s="105"/>
      <c r="E9" s="83"/>
      <c r="F9" s="83"/>
      <c r="G9" s="83"/>
      <c r="H9" s="83"/>
      <c r="I9" s="83"/>
      <c r="J9" s="83"/>
      <c r="K9" s="83"/>
      <c r="L9" s="83"/>
      <c r="M9" s="83"/>
      <c r="N9" s="83"/>
      <c r="O9" s="83"/>
      <c r="P9" s="83"/>
      <c r="Q9" s="83"/>
      <c r="R9" s="83"/>
      <c r="S9" s="83"/>
      <c r="T9" s="83"/>
      <c r="U9" s="83"/>
    </row>
    <row r="10" spans="1:21" x14ac:dyDescent="0.35">
      <c r="A10" s="103"/>
      <c r="B10" s="106"/>
      <c r="C10" s="106"/>
      <c r="D10" s="106"/>
      <c r="E10" s="83"/>
      <c r="F10" s="83"/>
      <c r="G10" s="83"/>
      <c r="H10" s="83"/>
      <c r="I10" s="83"/>
      <c r="J10" s="83"/>
      <c r="K10" s="83"/>
      <c r="L10" s="83"/>
      <c r="M10" s="83"/>
      <c r="N10" s="83"/>
      <c r="O10" s="83"/>
      <c r="P10" s="83"/>
      <c r="Q10" s="83"/>
      <c r="R10" s="83"/>
      <c r="S10" s="83"/>
      <c r="T10" s="83"/>
      <c r="U10" s="83"/>
    </row>
    <row r="11" spans="1:21" x14ac:dyDescent="0.35">
      <c r="A11" s="103"/>
      <c r="B11" s="103" t="s">
        <v>88</v>
      </c>
      <c r="C11" s="103" t="s">
        <v>129</v>
      </c>
      <c r="D11" s="103" t="s">
        <v>136</v>
      </c>
      <c r="E11" s="83"/>
      <c r="F11" s="83"/>
      <c r="G11" s="83"/>
      <c r="H11" s="83"/>
      <c r="I11" s="83"/>
      <c r="J11" s="83"/>
      <c r="K11" s="83"/>
      <c r="L11" s="83"/>
      <c r="M11" s="83"/>
      <c r="N11" s="83"/>
      <c r="O11" s="83"/>
      <c r="P11" s="83"/>
      <c r="Q11" s="83"/>
      <c r="R11" s="83"/>
      <c r="S11" s="83"/>
      <c r="T11" s="83"/>
      <c r="U11" s="83"/>
    </row>
    <row r="12" spans="1:21" x14ac:dyDescent="0.35">
      <c r="A12" s="103"/>
      <c r="B12" s="103" t="s">
        <v>86</v>
      </c>
      <c r="C12" s="103" t="s">
        <v>133</v>
      </c>
      <c r="D12" s="103" t="s">
        <v>137</v>
      </c>
      <c r="E12" s="83"/>
      <c r="F12" s="83"/>
      <c r="G12" s="83"/>
      <c r="H12" s="83"/>
      <c r="I12" s="83"/>
      <c r="J12" s="83"/>
      <c r="K12" s="83"/>
      <c r="L12" s="83"/>
      <c r="M12" s="83"/>
      <c r="N12" s="83"/>
      <c r="O12" s="83"/>
      <c r="P12" s="83"/>
      <c r="Q12" s="83"/>
      <c r="R12" s="83"/>
      <c r="S12" s="83"/>
      <c r="T12" s="83"/>
      <c r="U12" s="83"/>
    </row>
    <row r="13" spans="1:21" x14ac:dyDescent="0.35">
      <c r="A13" s="103"/>
      <c r="B13" s="103"/>
      <c r="C13" s="103" t="s">
        <v>132</v>
      </c>
      <c r="D13" s="103" t="s">
        <v>138</v>
      </c>
      <c r="E13" s="83"/>
      <c r="F13" s="83"/>
      <c r="G13" s="83"/>
      <c r="H13" s="83"/>
      <c r="I13" s="83"/>
      <c r="J13" s="83"/>
      <c r="K13" s="83"/>
      <c r="L13" s="83"/>
      <c r="M13" s="83"/>
      <c r="N13" s="83"/>
      <c r="O13" s="83"/>
      <c r="P13" s="83"/>
      <c r="Q13" s="83"/>
      <c r="R13" s="83"/>
      <c r="S13" s="83"/>
      <c r="T13" s="83"/>
      <c r="U13" s="83"/>
    </row>
    <row r="14" spans="1:21" x14ac:dyDescent="0.35">
      <c r="A14" s="103"/>
      <c r="B14" s="103"/>
      <c r="C14" s="103" t="s">
        <v>134</v>
      </c>
      <c r="D14" s="103" t="s">
        <v>139</v>
      </c>
      <c r="E14" s="83"/>
      <c r="F14" s="83"/>
      <c r="G14" s="83"/>
      <c r="H14" s="83"/>
      <c r="I14" s="83"/>
      <c r="J14" s="83"/>
      <c r="K14" s="83"/>
      <c r="L14" s="83"/>
      <c r="M14" s="83"/>
      <c r="N14" s="83"/>
      <c r="O14" s="83"/>
      <c r="P14" s="83"/>
      <c r="Q14" s="83"/>
      <c r="R14" s="83"/>
      <c r="S14" s="83"/>
      <c r="T14" s="83"/>
      <c r="U14" s="83"/>
    </row>
    <row r="15" spans="1:21" x14ac:dyDescent="0.35">
      <c r="A15" s="103"/>
      <c r="B15" s="103"/>
      <c r="C15" s="103" t="s">
        <v>135</v>
      </c>
      <c r="D15" s="103" t="s">
        <v>140</v>
      </c>
      <c r="E15" s="83"/>
      <c r="F15" s="83"/>
      <c r="G15" s="83"/>
      <c r="H15" s="83"/>
      <c r="I15" s="83"/>
      <c r="J15" s="83"/>
      <c r="K15" s="83"/>
      <c r="L15" s="83"/>
      <c r="M15" s="83"/>
      <c r="N15" s="83"/>
      <c r="O15" s="83"/>
      <c r="P15" s="83"/>
      <c r="Q15" s="83"/>
      <c r="R15" s="83"/>
      <c r="S15" s="83"/>
      <c r="T15" s="83"/>
      <c r="U15" s="83"/>
    </row>
    <row r="16" spans="1:21" x14ac:dyDescent="0.35">
      <c r="A16" s="103"/>
      <c r="B16" s="103"/>
      <c r="C16" s="103"/>
      <c r="D16" s="103"/>
      <c r="E16" s="83"/>
      <c r="F16" s="83"/>
      <c r="G16" s="83"/>
      <c r="H16" s="83"/>
      <c r="I16" s="83"/>
      <c r="J16" s="83"/>
      <c r="K16" s="83"/>
      <c r="L16" s="83"/>
      <c r="M16" s="83"/>
      <c r="N16" s="83"/>
      <c r="O16" s="83"/>
    </row>
    <row r="17" spans="1:15" x14ac:dyDescent="0.35">
      <c r="A17" s="103"/>
      <c r="B17" s="103"/>
      <c r="C17" s="103"/>
      <c r="D17" s="103"/>
      <c r="E17" s="83"/>
      <c r="F17" s="83"/>
      <c r="G17" s="83"/>
      <c r="H17" s="83"/>
      <c r="I17" s="83"/>
      <c r="J17" s="83"/>
      <c r="K17" s="83"/>
      <c r="L17" s="83"/>
      <c r="M17" s="83"/>
      <c r="N17" s="83"/>
      <c r="O17" s="83"/>
    </row>
    <row r="18" spans="1:15" x14ac:dyDescent="0.35">
      <c r="A18" s="103"/>
      <c r="B18" s="107"/>
      <c r="C18" s="107"/>
      <c r="D18" s="107"/>
      <c r="E18" s="83"/>
      <c r="F18" s="83"/>
      <c r="G18" s="83"/>
      <c r="H18" s="83"/>
      <c r="I18" s="83"/>
      <c r="J18" s="83"/>
      <c r="K18" s="83"/>
      <c r="L18" s="83"/>
      <c r="M18" s="83"/>
      <c r="N18" s="83"/>
      <c r="O18" s="83"/>
    </row>
    <row r="19" spans="1:15" x14ac:dyDescent="0.35">
      <c r="A19" s="103"/>
      <c r="B19" s="107"/>
      <c r="C19" s="107"/>
      <c r="D19" s="107"/>
      <c r="E19" s="83"/>
      <c r="F19" s="83"/>
      <c r="G19" s="83"/>
      <c r="H19" s="83"/>
      <c r="I19" s="83"/>
      <c r="J19" s="83"/>
      <c r="K19" s="83"/>
      <c r="L19" s="83"/>
      <c r="M19" s="83"/>
      <c r="N19" s="83"/>
      <c r="O19" s="83"/>
    </row>
    <row r="20" spans="1:15" x14ac:dyDescent="0.35">
      <c r="A20" s="103"/>
      <c r="B20" s="107"/>
      <c r="C20" s="107"/>
      <c r="D20" s="107"/>
      <c r="E20" s="83"/>
      <c r="F20" s="83"/>
      <c r="G20" s="83"/>
      <c r="H20" s="83"/>
      <c r="I20" s="83"/>
      <c r="J20" s="83"/>
      <c r="K20" s="83"/>
      <c r="L20" s="83"/>
      <c r="M20" s="83"/>
      <c r="N20" s="83"/>
      <c r="O20" s="83"/>
    </row>
    <row r="21" spans="1:15" x14ac:dyDescent="0.35">
      <c r="A21" s="103"/>
      <c r="B21" s="107"/>
      <c r="C21" s="107"/>
      <c r="D21" s="107"/>
      <c r="E21" s="83"/>
      <c r="F21" s="83"/>
      <c r="G21" s="83"/>
      <c r="H21" s="83"/>
      <c r="I21" s="83"/>
      <c r="J21" s="83"/>
      <c r="K21" s="83"/>
      <c r="L21" s="83"/>
      <c r="M21" s="83"/>
      <c r="N21" s="83"/>
      <c r="O21" s="83"/>
    </row>
    <row r="22" spans="1:15" ht="20" x14ac:dyDescent="0.35">
      <c r="A22" s="103"/>
      <c r="B22" s="103"/>
      <c r="C22" s="105"/>
      <c r="D22" s="105"/>
      <c r="E22" s="83"/>
      <c r="F22" s="83"/>
      <c r="G22" s="83"/>
      <c r="H22" s="83"/>
      <c r="I22" s="83"/>
      <c r="J22" s="83"/>
      <c r="K22" s="83"/>
      <c r="L22" s="83"/>
      <c r="M22" s="83"/>
      <c r="N22" s="83"/>
      <c r="O22" s="83"/>
    </row>
    <row r="23" spans="1:15" ht="20" x14ac:dyDescent="0.35">
      <c r="A23" s="103"/>
      <c r="B23" s="103"/>
      <c r="C23" s="105"/>
      <c r="D23" s="105"/>
      <c r="E23" s="83"/>
      <c r="F23" s="83"/>
      <c r="G23" s="83"/>
      <c r="H23" s="83"/>
      <c r="I23" s="83"/>
      <c r="J23" s="83"/>
      <c r="K23" s="83"/>
      <c r="L23" s="83"/>
      <c r="M23" s="83"/>
      <c r="N23" s="83"/>
      <c r="O23" s="83"/>
    </row>
    <row r="24" spans="1:15" ht="20" x14ac:dyDescent="0.35">
      <c r="A24" s="103"/>
      <c r="B24" s="103"/>
      <c r="C24" s="105"/>
      <c r="D24" s="105"/>
      <c r="E24" s="83"/>
      <c r="F24" s="83"/>
      <c r="G24" s="83"/>
      <c r="H24" s="83"/>
      <c r="I24" s="83"/>
      <c r="J24" s="83"/>
      <c r="K24" s="83"/>
      <c r="L24" s="83"/>
      <c r="M24" s="83"/>
      <c r="N24" s="83"/>
      <c r="O24" s="83"/>
    </row>
    <row r="25" spans="1:15" ht="20" x14ac:dyDescent="0.35">
      <c r="A25" s="103"/>
      <c r="B25" s="103"/>
      <c r="C25" s="105"/>
      <c r="D25" s="105"/>
      <c r="E25" s="83"/>
      <c r="F25" s="83"/>
      <c r="G25" s="83"/>
      <c r="H25" s="83"/>
      <c r="I25" s="83"/>
      <c r="J25" s="83"/>
      <c r="K25" s="83"/>
      <c r="L25" s="83"/>
      <c r="M25" s="83"/>
      <c r="N25" s="83"/>
      <c r="O25" s="83"/>
    </row>
    <row r="26" spans="1:15" ht="20" x14ac:dyDescent="0.35">
      <c r="A26" s="103"/>
      <c r="B26" s="103"/>
      <c r="C26" s="105"/>
      <c r="D26" s="105"/>
      <c r="E26" s="83"/>
      <c r="F26" s="83"/>
      <c r="G26" s="83"/>
      <c r="H26" s="83"/>
      <c r="I26" s="83"/>
      <c r="J26" s="83"/>
      <c r="K26" s="83"/>
      <c r="L26" s="83"/>
      <c r="M26" s="83"/>
      <c r="N26" s="83"/>
      <c r="O26" s="83"/>
    </row>
    <row r="27" spans="1:15" ht="20" x14ac:dyDescent="0.35">
      <c r="A27" s="103"/>
      <c r="B27" s="103"/>
      <c r="C27" s="105"/>
      <c r="D27" s="105"/>
      <c r="E27" s="83"/>
      <c r="F27" s="83"/>
      <c r="G27" s="83"/>
      <c r="H27" s="83"/>
      <c r="I27" s="83"/>
      <c r="J27" s="83"/>
      <c r="K27" s="83"/>
      <c r="L27" s="83"/>
      <c r="M27" s="83"/>
      <c r="N27" s="83"/>
      <c r="O27" s="83"/>
    </row>
    <row r="28" spans="1:15" ht="20" x14ac:dyDescent="0.35">
      <c r="A28" s="103"/>
      <c r="B28" s="103"/>
      <c r="C28" s="105"/>
      <c r="D28" s="105"/>
      <c r="E28" s="83"/>
      <c r="F28" s="83"/>
      <c r="G28" s="83"/>
      <c r="H28" s="83"/>
      <c r="I28" s="83"/>
      <c r="J28" s="83"/>
      <c r="K28" s="83"/>
      <c r="L28" s="83"/>
      <c r="M28" s="83"/>
      <c r="N28" s="83"/>
      <c r="O28" s="83"/>
    </row>
    <row r="29" spans="1:15" ht="20" x14ac:dyDescent="0.35">
      <c r="A29" s="103"/>
      <c r="B29" s="103"/>
      <c r="C29" s="105"/>
      <c r="D29" s="105"/>
      <c r="E29" s="83"/>
      <c r="F29" s="83"/>
      <c r="G29" s="83"/>
      <c r="H29" s="83"/>
      <c r="I29" s="83"/>
      <c r="J29" s="83"/>
      <c r="K29" s="83"/>
      <c r="L29" s="83"/>
      <c r="M29" s="83"/>
      <c r="N29" s="83"/>
      <c r="O29" s="83"/>
    </row>
    <row r="30" spans="1:15" ht="20" x14ac:dyDescent="0.35">
      <c r="A30" s="103"/>
      <c r="B30" s="103"/>
      <c r="C30" s="105"/>
      <c r="D30" s="105"/>
      <c r="E30" s="83"/>
      <c r="F30" s="83"/>
      <c r="G30" s="83"/>
      <c r="H30" s="83"/>
      <c r="I30" s="83"/>
      <c r="J30" s="83"/>
      <c r="K30" s="83"/>
      <c r="L30" s="83"/>
      <c r="M30" s="83"/>
      <c r="N30" s="83"/>
      <c r="O30" s="83"/>
    </row>
    <row r="31" spans="1:15" ht="20" x14ac:dyDescent="0.35">
      <c r="A31" s="103"/>
      <c r="B31" s="103"/>
      <c r="C31" s="105"/>
      <c r="D31" s="105"/>
      <c r="E31" s="83"/>
      <c r="F31" s="83"/>
      <c r="G31" s="83"/>
      <c r="H31" s="83"/>
      <c r="I31" s="83"/>
      <c r="J31" s="83"/>
      <c r="K31" s="83"/>
      <c r="L31" s="83"/>
      <c r="M31" s="83"/>
      <c r="N31" s="83"/>
      <c r="O31" s="83"/>
    </row>
    <row r="32" spans="1:15" ht="20" x14ac:dyDescent="0.35">
      <c r="A32" s="103"/>
      <c r="B32" s="103"/>
      <c r="C32" s="105"/>
      <c r="D32" s="105"/>
      <c r="E32" s="83"/>
      <c r="F32" s="83"/>
      <c r="G32" s="83"/>
      <c r="H32" s="83"/>
      <c r="I32" s="83"/>
      <c r="J32" s="83"/>
      <c r="K32" s="83"/>
      <c r="L32" s="83"/>
      <c r="M32" s="83"/>
      <c r="N32" s="83"/>
      <c r="O32" s="83"/>
    </row>
    <row r="33" spans="1:15" ht="20" x14ac:dyDescent="0.35">
      <c r="A33" s="103"/>
      <c r="B33" s="103"/>
      <c r="C33" s="105"/>
      <c r="D33" s="105"/>
      <c r="E33" s="83"/>
      <c r="F33" s="83"/>
      <c r="G33" s="83"/>
      <c r="H33" s="83"/>
      <c r="I33" s="83"/>
      <c r="J33" s="83"/>
      <c r="K33" s="83"/>
      <c r="L33" s="83"/>
      <c r="M33" s="83"/>
      <c r="N33" s="83"/>
      <c r="O33" s="83"/>
    </row>
    <row r="34" spans="1:15" ht="20" x14ac:dyDescent="0.35">
      <c r="A34" s="103"/>
      <c r="B34" s="103"/>
      <c r="C34" s="105"/>
      <c r="D34" s="105"/>
      <c r="E34" s="83"/>
      <c r="F34" s="83"/>
      <c r="G34" s="83"/>
      <c r="H34" s="83"/>
      <c r="I34" s="83"/>
      <c r="J34" s="83"/>
      <c r="K34" s="83"/>
      <c r="L34" s="83"/>
      <c r="M34" s="83"/>
      <c r="N34" s="83"/>
      <c r="O34" s="83"/>
    </row>
    <row r="35" spans="1:15" ht="20" x14ac:dyDescent="0.35">
      <c r="A35" s="103"/>
      <c r="B35" s="103"/>
      <c r="C35" s="105"/>
      <c r="D35" s="105"/>
      <c r="E35" s="83"/>
      <c r="F35" s="83"/>
      <c r="G35" s="83"/>
      <c r="H35" s="83"/>
      <c r="I35" s="83"/>
      <c r="J35" s="83"/>
      <c r="K35" s="83"/>
      <c r="L35" s="83"/>
      <c r="M35" s="83"/>
      <c r="N35" s="83"/>
      <c r="O35" s="83"/>
    </row>
    <row r="36" spans="1:15" ht="20" x14ac:dyDescent="0.35">
      <c r="A36" s="103"/>
      <c r="B36" s="103"/>
      <c r="C36" s="105"/>
      <c r="D36" s="105"/>
      <c r="E36" s="83"/>
      <c r="F36" s="83"/>
      <c r="G36" s="83"/>
      <c r="H36" s="83"/>
      <c r="I36" s="83"/>
      <c r="J36" s="83"/>
      <c r="K36" s="83"/>
      <c r="L36" s="83"/>
      <c r="M36" s="83"/>
      <c r="N36" s="83"/>
      <c r="O36" s="83"/>
    </row>
    <row r="37" spans="1:15" ht="20" x14ac:dyDescent="0.35">
      <c r="A37" s="103"/>
      <c r="B37" s="103"/>
      <c r="C37" s="105"/>
      <c r="D37" s="105"/>
      <c r="E37" s="83"/>
      <c r="F37" s="83"/>
      <c r="G37" s="83"/>
      <c r="H37" s="83"/>
      <c r="I37" s="83"/>
      <c r="J37" s="83"/>
      <c r="K37" s="83"/>
      <c r="L37" s="83"/>
      <c r="M37" s="83"/>
      <c r="N37" s="83"/>
      <c r="O37" s="83"/>
    </row>
    <row r="38" spans="1:15" ht="20" x14ac:dyDescent="0.35">
      <c r="A38" s="103"/>
      <c r="B38" s="103"/>
      <c r="C38" s="105"/>
      <c r="D38" s="105"/>
      <c r="E38" s="83"/>
      <c r="F38" s="83"/>
      <c r="G38" s="83"/>
      <c r="H38" s="83"/>
      <c r="I38" s="83"/>
      <c r="J38" s="83"/>
      <c r="K38" s="83"/>
      <c r="L38" s="83"/>
      <c r="M38" s="83"/>
      <c r="N38" s="83"/>
      <c r="O38" s="83"/>
    </row>
    <row r="39" spans="1:15" ht="20" x14ac:dyDescent="0.35">
      <c r="A39" s="103"/>
      <c r="B39" s="103"/>
      <c r="C39" s="105"/>
      <c r="D39" s="105"/>
      <c r="E39" s="83"/>
      <c r="F39" s="83"/>
      <c r="G39" s="83"/>
      <c r="H39" s="83"/>
      <c r="I39" s="83"/>
      <c r="J39" s="83"/>
      <c r="K39" s="83"/>
      <c r="L39" s="83"/>
      <c r="M39" s="83"/>
      <c r="N39" s="83"/>
      <c r="O39" s="83"/>
    </row>
    <row r="40" spans="1:15" ht="20" x14ac:dyDescent="0.35">
      <c r="A40" s="103"/>
      <c r="B40" s="103"/>
      <c r="C40" s="105"/>
      <c r="D40" s="105"/>
      <c r="E40" s="83"/>
      <c r="F40" s="83"/>
      <c r="G40" s="83"/>
      <c r="H40" s="83"/>
      <c r="I40" s="83"/>
      <c r="J40" s="83"/>
      <c r="K40" s="83"/>
      <c r="L40" s="83"/>
      <c r="M40" s="83"/>
      <c r="N40" s="83"/>
      <c r="O40" s="83"/>
    </row>
    <row r="41" spans="1:15" ht="20" x14ac:dyDescent="0.35">
      <c r="A41" s="103"/>
      <c r="B41" s="103"/>
      <c r="C41" s="105"/>
      <c r="D41" s="105"/>
      <c r="E41" s="83"/>
      <c r="F41" s="83"/>
      <c r="G41" s="83"/>
      <c r="H41" s="83"/>
      <c r="I41" s="83"/>
      <c r="J41" s="83"/>
      <c r="K41" s="83"/>
      <c r="L41" s="83"/>
      <c r="M41" s="83"/>
      <c r="N41" s="83"/>
      <c r="O41" s="83"/>
    </row>
    <row r="42" spans="1:15" ht="20" x14ac:dyDescent="0.35">
      <c r="A42" s="103"/>
      <c r="B42" s="103"/>
      <c r="C42" s="105"/>
      <c r="D42" s="105"/>
      <c r="E42" s="83"/>
      <c r="F42" s="83"/>
      <c r="G42" s="83"/>
      <c r="H42" s="83"/>
      <c r="I42" s="83"/>
      <c r="J42" s="83"/>
      <c r="K42" s="83"/>
      <c r="L42" s="83"/>
      <c r="M42" s="83"/>
      <c r="N42" s="83"/>
      <c r="O42" s="83"/>
    </row>
    <row r="43" spans="1:15" ht="20" x14ac:dyDescent="0.35">
      <c r="A43" s="103"/>
      <c r="B43" s="103"/>
      <c r="C43" s="105"/>
      <c r="D43" s="105"/>
      <c r="E43" s="83"/>
      <c r="F43" s="83"/>
      <c r="G43" s="83"/>
      <c r="H43" s="83"/>
      <c r="I43" s="83"/>
      <c r="J43" s="83"/>
      <c r="K43" s="83"/>
      <c r="L43" s="83"/>
      <c r="M43" s="83"/>
      <c r="N43" s="83"/>
      <c r="O43" s="83"/>
    </row>
    <row r="44" spans="1:15" ht="20" x14ac:dyDescent="0.35">
      <c r="A44" s="103"/>
      <c r="B44" s="103"/>
      <c r="C44" s="105"/>
      <c r="D44" s="105"/>
      <c r="E44" s="83"/>
      <c r="F44" s="83"/>
      <c r="G44" s="83"/>
      <c r="H44" s="83"/>
      <c r="I44" s="83"/>
      <c r="J44" s="83"/>
      <c r="K44" s="83"/>
      <c r="L44" s="83"/>
      <c r="M44" s="83"/>
      <c r="N44" s="83"/>
      <c r="O44" s="83"/>
    </row>
    <row r="45" spans="1:15" ht="20" x14ac:dyDescent="0.35">
      <c r="A45" s="103"/>
      <c r="B45" s="103"/>
      <c r="C45" s="105"/>
      <c r="D45" s="105"/>
      <c r="E45" s="83"/>
      <c r="F45" s="83"/>
      <c r="G45" s="83"/>
      <c r="H45" s="83"/>
      <c r="I45" s="83"/>
      <c r="J45" s="83"/>
      <c r="K45" s="83"/>
      <c r="L45" s="83"/>
      <c r="M45" s="83"/>
      <c r="N45" s="83"/>
      <c r="O45" s="83"/>
    </row>
    <row r="46" spans="1:15" ht="20" x14ac:dyDescent="0.35">
      <c r="A46" s="103"/>
      <c r="B46" s="103"/>
      <c r="C46" s="105"/>
      <c r="D46" s="105"/>
      <c r="E46" s="83"/>
      <c r="F46" s="83"/>
      <c r="G46" s="83"/>
      <c r="H46" s="83"/>
      <c r="I46" s="83"/>
      <c r="J46" s="83"/>
      <c r="K46" s="83"/>
      <c r="L46" s="83"/>
      <c r="M46" s="83"/>
      <c r="N46" s="83"/>
      <c r="O46" s="83"/>
    </row>
    <row r="47" spans="1:15" ht="20" x14ac:dyDescent="0.35">
      <c r="A47" s="103"/>
      <c r="B47" s="103"/>
      <c r="C47" s="105"/>
      <c r="D47" s="105"/>
      <c r="E47" s="83"/>
      <c r="F47" s="83"/>
      <c r="G47" s="83"/>
      <c r="H47" s="83"/>
      <c r="I47" s="83"/>
      <c r="J47" s="83"/>
      <c r="K47" s="83"/>
      <c r="L47" s="83"/>
      <c r="M47" s="83"/>
      <c r="N47" s="83"/>
      <c r="O47" s="83"/>
    </row>
    <row r="48" spans="1:15" ht="20" x14ac:dyDescent="0.35">
      <c r="A48" s="103"/>
      <c r="B48" s="103"/>
      <c r="C48" s="105"/>
      <c r="D48" s="105"/>
      <c r="E48" s="83"/>
      <c r="F48" s="83"/>
      <c r="G48" s="83"/>
      <c r="H48" s="83"/>
      <c r="I48" s="83"/>
      <c r="J48" s="83"/>
      <c r="K48" s="83"/>
      <c r="L48" s="83"/>
      <c r="M48" s="83"/>
      <c r="N48" s="83"/>
      <c r="O48" s="83"/>
    </row>
    <row r="49" spans="1:15" ht="20" x14ac:dyDescent="0.35">
      <c r="A49" s="103"/>
      <c r="B49" s="103"/>
      <c r="C49" s="105"/>
      <c r="D49" s="105"/>
      <c r="E49" s="83"/>
      <c r="F49" s="83"/>
      <c r="G49" s="83"/>
      <c r="H49" s="83"/>
      <c r="I49" s="83"/>
      <c r="J49" s="83"/>
      <c r="K49" s="83"/>
      <c r="L49" s="83"/>
      <c r="M49" s="83"/>
      <c r="N49" s="83"/>
      <c r="O49" s="83"/>
    </row>
    <row r="50" spans="1:15" ht="20" x14ac:dyDescent="0.35">
      <c r="A50" s="103"/>
      <c r="B50" s="103"/>
      <c r="C50" s="105"/>
      <c r="D50" s="105"/>
      <c r="E50" s="83"/>
      <c r="F50" s="83"/>
      <c r="G50" s="83"/>
      <c r="H50" s="83"/>
      <c r="I50" s="83"/>
      <c r="J50" s="83"/>
      <c r="K50" s="83"/>
      <c r="L50" s="83"/>
      <c r="M50" s="83"/>
      <c r="N50" s="83"/>
      <c r="O50" s="83"/>
    </row>
    <row r="51" spans="1:15" ht="20" x14ac:dyDescent="0.35">
      <c r="A51" s="103"/>
      <c r="B51" s="103"/>
      <c r="C51" s="105"/>
      <c r="D51" s="105"/>
      <c r="E51" s="83"/>
      <c r="F51" s="83"/>
      <c r="G51" s="83"/>
      <c r="H51" s="83"/>
      <c r="I51" s="83"/>
      <c r="J51" s="83"/>
      <c r="K51" s="83"/>
      <c r="L51" s="83"/>
      <c r="M51" s="83"/>
      <c r="N51" s="83"/>
      <c r="O51" s="83"/>
    </row>
    <row r="52" spans="1:15" ht="20" x14ac:dyDescent="0.35">
      <c r="A52" s="103"/>
      <c r="B52" s="23"/>
      <c r="C52" s="34"/>
      <c r="D52" s="34"/>
    </row>
    <row r="53" spans="1:15" ht="20" x14ac:dyDescent="0.35">
      <c r="A53" s="103"/>
      <c r="B53" s="23"/>
      <c r="C53" s="34"/>
      <c r="D53" s="34"/>
    </row>
    <row r="54" spans="1:15" ht="20" x14ac:dyDescent="0.35">
      <c r="A54" s="103"/>
      <c r="B54" s="23"/>
      <c r="C54" s="34"/>
      <c r="D54" s="34"/>
    </row>
    <row r="55" spans="1:15" ht="20" x14ac:dyDescent="0.35">
      <c r="A55" s="103"/>
      <c r="B55" s="23"/>
      <c r="C55" s="34"/>
      <c r="D55" s="34"/>
    </row>
    <row r="56" spans="1:15" ht="20" x14ac:dyDescent="0.35">
      <c r="A56" s="103"/>
      <c r="B56" s="23"/>
      <c r="C56" s="34"/>
      <c r="D56" s="34"/>
    </row>
    <row r="57" spans="1:15" ht="20" x14ac:dyDescent="0.35">
      <c r="A57" s="103"/>
      <c r="B57" s="23"/>
      <c r="C57" s="34"/>
      <c r="D57" s="34"/>
    </row>
    <row r="58" spans="1:15" ht="20" x14ac:dyDescent="0.35">
      <c r="A58" s="103"/>
      <c r="B58" s="23"/>
      <c r="C58" s="34"/>
      <c r="D58" s="34"/>
    </row>
    <row r="59" spans="1:15" ht="20" x14ac:dyDescent="0.35">
      <c r="A59" s="103"/>
      <c r="B59" s="23"/>
      <c r="C59" s="34"/>
      <c r="D59" s="34"/>
    </row>
    <row r="60" spans="1:15" ht="20" x14ac:dyDescent="0.35">
      <c r="A60" s="103"/>
      <c r="B60" s="23"/>
      <c r="C60" s="34"/>
      <c r="D60" s="34"/>
    </row>
    <row r="61" spans="1:15" ht="20" x14ac:dyDescent="0.35">
      <c r="A61" s="103"/>
      <c r="B61" s="23"/>
      <c r="C61" s="34"/>
      <c r="D61" s="34"/>
    </row>
    <row r="62" spans="1:15" ht="20" x14ac:dyDescent="0.35">
      <c r="A62" s="103"/>
      <c r="B62" s="23"/>
      <c r="C62" s="34"/>
      <c r="D62" s="34"/>
    </row>
    <row r="63" spans="1:15" ht="20" x14ac:dyDescent="0.35">
      <c r="A63" s="103"/>
      <c r="B63" s="23"/>
      <c r="C63" s="34"/>
      <c r="D63" s="34"/>
    </row>
    <row r="64" spans="1:15" ht="20" x14ac:dyDescent="0.35">
      <c r="A64" s="103"/>
      <c r="B64" s="23"/>
      <c r="C64" s="34"/>
      <c r="D64" s="34"/>
    </row>
    <row r="65" spans="1:4" ht="20" x14ac:dyDescent="0.35">
      <c r="A65" s="103"/>
      <c r="B65" s="23"/>
      <c r="C65" s="34"/>
      <c r="D65" s="34"/>
    </row>
    <row r="66" spans="1:4" ht="20" x14ac:dyDescent="0.35">
      <c r="A66" s="103"/>
      <c r="B66" s="23"/>
      <c r="C66" s="34"/>
      <c r="D66" s="34"/>
    </row>
    <row r="67" spans="1:4" ht="20" x14ac:dyDescent="0.35">
      <c r="A67" s="103"/>
      <c r="B67" s="23"/>
      <c r="C67" s="34"/>
      <c r="D67" s="34"/>
    </row>
    <row r="68" spans="1:4" ht="20" x14ac:dyDescent="0.35">
      <c r="A68" s="103"/>
      <c r="B68" s="23"/>
      <c r="C68" s="34"/>
      <c r="D68" s="34"/>
    </row>
    <row r="69" spans="1:4" ht="20" x14ac:dyDescent="0.35">
      <c r="A69" s="103"/>
      <c r="B69" s="23"/>
      <c r="C69" s="34"/>
      <c r="D69" s="34"/>
    </row>
    <row r="70" spans="1:4" ht="20" x14ac:dyDescent="0.35">
      <c r="A70" s="103"/>
      <c r="B70" s="23"/>
      <c r="C70" s="34"/>
      <c r="D70" s="34"/>
    </row>
    <row r="71" spans="1:4" ht="20" x14ac:dyDescent="0.35">
      <c r="A71" s="103"/>
      <c r="B71" s="23"/>
      <c r="C71" s="34"/>
      <c r="D71" s="34"/>
    </row>
    <row r="72" spans="1:4" ht="20" x14ac:dyDescent="0.35">
      <c r="A72" s="103"/>
      <c r="B72" s="23"/>
      <c r="C72" s="34"/>
      <c r="D72" s="34"/>
    </row>
    <row r="73" spans="1:4" ht="20" x14ac:dyDescent="0.35">
      <c r="A73" s="103"/>
      <c r="B73" s="23"/>
      <c r="C73" s="34"/>
      <c r="D73" s="34"/>
    </row>
    <row r="74" spans="1:4" ht="20" x14ac:dyDescent="0.35">
      <c r="A74" s="103"/>
      <c r="B74" s="23"/>
      <c r="C74" s="34"/>
      <c r="D74" s="34"/>
    </row>
    <row r="75" spans="1:4" ht="20" x14ac:dyDescent="0.35">
      <c r="A75" s="103"/>
      <c r="B75" s="23"/>
      <c r="C75" s="34"/>
      <c r="D75" s="34"/>
    </row>
    <row r="76" spans="1:4" ht="20" x14ac:dyDescent="0.35">
      <c r="A76" s="103"/>
      <c r="B76" s="23"/>
      <c r="C76" s="34"/>
      <c r="D76" s="34"/>
    </row>
    <row r="77" spans="1:4" ht="20" x14ac:dyDescent="0.35">
      <c r="A77" s="103"/>
      <c r="B77" s="23"/>
      <c r="C77" s="34"/>
      <c r="D77" s="34"/>
    </row>
    <row r="78" spans="1:4" ht="20" x14ac:dyDescent="0.35">
      <c r="A78" s="103"/>
      <c r="B78" s="23"/>
      <c r="C78" s="34"/>
      <c r="D78" s="34"/>
    </row>
    <row r="79" spans="1:4" ht="20" x14ac:dyDescent="0.35">
      <c r="A79" s="103"/>
      <c r="B79" s="23"/>
      <c r="C79" s="34"/>
      <c r="D79" s="34"/>
    </row>
    <row r="80" spans="1:4" ht="20" x14ac:dyDescent="0.35">
      <c r="A80" s="103"/>
      <c r="B80" s="23"/>
      <c r="C80" s="34"/>
      <c r="D80" s="34"/>
    </row>
    <row r="81" spans="1:4" ht="20" x14ac:dyDescent="0.35">
      <c r="A81" s="103"/>
      <c r="B81" s="23"/>
      <c r="C81" s="34"/>
      <c r="D81" s="34"/>
    </row>
    <row r="82" spans="1:4" ht="20" x14ac:dyDescent="0.35">
      <c r="A82" s="103"/>
      <c r="B82" s="23"/>
      <c r="C82" s="34"/>
      <c r="D82" s="34"/>
    </row>
    <row r="83" spans="1:4" ht="20" x14ac:dyDescent="0.35">
      <c r="A83" s="103"/>
      <c r="B83" s="23"/>
      <c r="C83" s="34"/>
      <c r="D83" s="34"/>
    </row>
    <row r="84" spans="1:4" ht="20" x14ac:dyDescent="0.35">
      <c r="A84" s="103"/>
      <c r="B84" s="23"/>
      <c r="C84" s="34"/>
      <c r="D84" s="34"/>
    </row>
    <row r="85" spans="1:4" ht="20" x14ac:dyDescent="0.35">
      <c r="A85" s="103"/>
      <c r="B85" s="23"/>
      <c r="C85" s="34"/>
      <c r="D85" s="34"/>
    </row>
    <row r="86" spans="1:4" ht="20" x14ac:dyDescent="0.35">
      <c r="A86" s="103"/>
      <c r="B86" s="23"/>
      <c r="C86" s="34"/>
      <c r="D86" s="34"/>
    </row>
    <row r="87" spans="1:4" ht="20" x14ac:dyDescent="0.35">
      <c r="A87" s="103"/>
      <c r="B87" s="23"/>
      <c r="C87" s="34"/>
      <c r="D87" s="34"/>
    </row>
    <row r="88" spans="1:4" ht="20" x14ac:dyDescent="0.35">
      <c r="A88" s="103"/>
      <c r="B88" s="23"/>
      <c r="C88" s="34"/>
      <c r="D88" s="34"/>
    </row>
    <row r="89" spans="1:4" ht="20" x14ac:dyDescent="0.35">
      <c r="A89" s="103"/>
      <c r="B89" s="23"/>
      <c r="C89" s="34"/>
      <c r="D89" s="34"/>
    </row>
    <row r="90" spans="1:4" ht="20" x14ac:dyDescent="0.35">
      <c r="A90" s="103"/>
      <c r="B90" s="23"/>
      <c r="C90" s="34"/>
      <c r="D90" s="34"/>
    </row>
    <row r="91" spans="1:4" ht="20" x14ac:dyDescent="0.35">
      <c r="A91" s="103"/>
      <c r="B91" s="23"/>
      <c r="C91" s="34"/>
      <c r="D91" s="34"/>
    </row>
    <row r="92" spans="1:4" ht="20" x14ac:dyDescent="0.35">
      <c r="A92" s="103"/>
      <c r="B92" s="23"/>
      <c r="C92" s="34"/>
      <c r="D92" s="34"/>
    </row>
    <row r="93" spans="1:4" ht="20" x14ac:dyDescent="0.35">
      <c r="A93" s="103"/>
      <c r="B93" s="23"/>
      <c r="C93" s="34"/>
      <c r="D93" s="34"/>
    </row>
    <row r="94" spans="1:4" ht="20" x14ac:dyDescent="0.35">
      <c r="A94" s="103"/>
      <c r="B94" s="23"/>
      <c r="C94" s="34"/>
      <c r="D94" s="34"/>
    </row>
    <row r="95" spans="1:4" ht="20" x14ac:dyDescent="0.35">
      <c r="A95" s="103"/>
      <c r="B95" s="23"/>
      <c r="C95" s="34"/>
      <c r="D95" s="34"/>
    </row>
    <row r="96" spans="1:4" ht="20" x14ac:dyDescent="0.35">
      <c r="A96" s="103"/>
      <c r="B96" s="23"/>
      <c r="C96" s="34"/>
      <c r="D96" s="34"/>
    </row>
    <row r="97" spans="1:4" ht="20" x14ac:dyDescent="0.35">
      <c r="A97" s="103"/>
      <c r="B97" s="23"/>
      <c r="C97" s="34"/>
      <c r="D97" s="34"/>
    </row>
    <row r="98" spans="1:4" ht="20" x14ac:dyDescent="0.35">
      <c r="A98" s="103"/>
      <c r="B98" s="23"/>
      <c r="C98" s="34"/>
      <c r="D98" s="34"/>
    </row>
    <row r="99" spans="1:4" ht="20" x14ac:dyDescent="0.35">
      <c r="A99" s="103"/>
      <c r="B99" s="23"/>
      <c r="C99" s="34"/>
      <c r="D99" s="34"/>
    </row>
    <row r="100" spans="1:4" ht="20" x14ac:dyDescent="0.35">
      <c r="A100" s="103"/>
      <c r="B100" s="23"/>
      <c r="C100" s="34"/>
      <c r="D100" s="34"/>
    </row>
    <row r="101" spans="1:4" ht="20" x14ac:dyDescent="0.35">
      <c r="A101" s="103"/>
      <c r="B101" s="23"/>
      <c r="C101" s="34"/>
      <c r="D101" s="34"/>
    </row>
    <row r="102" spans="1:4" ht="20" x14ac:dyDescent="0.35">
      <c r="A102" s="103"/>
      <c r="B102" s="23"/>
      <c r="C102" s="34"/>
      <c r="D102" s="34"/>
    </row>
    <row r="103" spans="1:4" ht="20" x14ac:dyDescent="0.35">
      <c r="A103" s="103"/>
      <c r="B103" s="23"/>
      <c r="C103" s="34"/>
      <c r="D103" s="34"/>
    </row>
    <row r="104" spans="1:4" ht="20" x14ac:dyDescent="0.35">
      <c r="A104" s="103"/>
      <c r="B104" s="23"/>
      <c r="C104" s="34"/>
      <c r="D104" s="34"/>
    </row>
    <row r="105" spans="1:4" ht="20" x14ac:dyDescent="0.35">
      <c r="A105" s="103"/>
      <c r="B105" s="23"/>
      <c r="C105" s="34"/>
      <c r="D105" s="34"/>
    </row>
    <row r="106" spans="1:4" ht="20" x14ac:dyDescent="0.35">
      <c r="A106" s="103"/>
      <c r="B106" s="23"/>
      <c r="C106" s="34"/>
      <c r="D106" s="34"/>
    </row>
    <row r="107" spans="1:4" ht="20" x14ac:dyDescent="0.35">
      <c r="A107" s="103"/>
      <c r="B107" s="23"/>
      <c r="C107" s="34"/>
      <c r="D107" s="34"/>
    </row>
    <row r="108" spans="1:4" ht="20" x14ac:dyDescent="0.35">
      <c r="A108" s="103"/>
      <c r="B108" s="23"/>
      <c r="C108" s="34"/>
      <c r="D108" s="34"/>
    </row>
    <row r="109" spans="1:4" ht="20" x14ac:dyDescent="0.35">
      <c r="A109" s="103"/>
      <c r="B109" s="23"/>
      <c r="C109" s="34"/>
      <c r="D109" s="34"/>
    </row>
    <row r="110" spans="1:4" ht="20" x14ac:dyDescent="0.35">
      <c r="A110" s="103"/>
      <c r="B110" s="23"/>
      <c r="C110" s="34"/>
      <c r="D110" s="34"/>
    </row>
    <row r="111" spans="1:4" ht="20" x14ac:dyDescent="0.35">
      <c r="A111" s="103"/>
      <c r="B111" s="23"/>
      <c r="C111" s="34"/>
      <c r="D111" s="34"/>
    </row>
    <row r="112" spans="1:4" ht="20" x14ac:dyDescent="0.35">
      <c r="A112" s="103"/>
      <c r="B112" s="23"/>
      <c r="C112" s="34"/>
      <c r="D112" s="34"/>
    </row>
    <row r="113" spans="1:4" ht="20" x14ac:dyDescent="0.35">
      <c r="A113" s="103"/>
      <c r="B113" s="23"/>
      <c r="C113" s="34"/>
      <c r="D113" s="34"/>
    </row>
    <row r="114" spans="1:4" ht="20" x14ac:dyDescent="0.35">
      <c r="A114" s="103"/>
      <c r="B114" s="23"/>
      <c r="C114" s="34"/>
      <c r="D114" s="34"/>
    </row>
    <row r="115" spans="1:4" ht="20" x14ac:dyDescent="0.35">
      <c r="A115" s="103"/>
      <c r="B115" s="23"/>
      <c r="C115" s="34"/>
      <c r="D115" s="34"/>
    </row>
    <row r="116" spans="1:4" ht="20" x14ac:dyDescent="0.35">
      <c r="A116" s="103"/>
      <c r="B116" s="23"/>
      <c r="C116" s="34"/>
      <c r="D116" s="34"/>
    </row>
    <row r="117" spans="1:4" ht="20" x14ac:dyDescent="0.35">
      <c r="A117" s="103"/>
      <c r="B117" s="23"/>
      <c r="C117" s="34"/>
      <c r="D117" s="34"/>
    </row>
    <row r="118" spans="1:4" ht="20" x14ac:dyDescent="0.35">
      <c r="A118" s="103"/>
      <c r="B118" s="23"/>
      <c r="C118" s="34"/>
      <c r="D118" s="34"/>
    </row>
    <row r="119" spans="1:4" ht="20" x14ac:dyDescent="0.35">
      <c r="A119" s="103"/>
      <c r="B119" s="23"/>
      <c r="C119" s="34"/>
      <c r="D119" s="34"/>
    </row>
    <row r="120" spans="1:4" ht="20" x14ac:dyDescent="0.35">
      <c r="A120" s="103"/>
      <c r="B120" s="23"/>
      <c r="C120" s="34"/>
      <c r="D120" s="34"/>
    </row>
    <row r="121" spans="1:4" ht="20" x14ac:dyDescent="0.35">
      <c r="A121" s="103"/>
      <c r="B121" s="23"/>
      <c r="C121" s="34"/>
      <c r="D121" s="34"/>
    </row>
    <row r="122" spans="1:4" ht="20" x14ac:dyDescent="0.35">
      <c r="A122" s="103"/>
      <c r="B122" s="23"/>
      <c r="C122" s="34"/>
      <c r="D122" s="34"/>
    </row>
    <row r="123" spans="1:4" ht="20" x14ac:dyDescent="0.35">
      <c r="A123" s="103"/>
      <c r="B123" s="23"/>
      <c r="C123" s="34"/>
      <c r="D123" s="34"/>
    </row>
    <row r="124" spans="1:4" ht="20" x14ac:dyDescent="0.35">
      <c r="A124" s="103"/>
      <c r="B124" s="23"/>
      <c r="C124" s="34"/>
      <c r="D124" s="34"/>
    </row>
    <row r="125" spans="1:4" ht="20" x14ac:dyDescent="0.35">
      <c r="A125" s="103"/>
      <c r="B125" s="23"/>
      <c r="C125" s="34"/>
      <c r="D125" s="34"/>
    </row>
    <row r="126" spans="1:4" ht="20" x14ac:dyDescent="0.35">
      <c r="A126" s="103"/>
      <c r="B126" s="23"/>
      <c r="C126" s="34"/>
      <c r="D126" s="34"/>
    </row>
    <row r="127" spans="1:4" ht="20" x14ac:dyDescent="0.35">
      <c r="A127" s="103"/>
      <c r="B127" s="23"/>
      <c r="C127" s="34"/>
      <c r="D127" s="34"/>
    </row>
    <row r="128" spans="1:4" ht="20" x14ac:dyDescent="0.35">
      <c r="A128" s="103"/>
      <c r="B128" s="23"/>
      <c r="C128" s="34"/>
      <c r="D128" s="34"/>
    </row>
    <row r="129" spans="1:4" ht="20" x14ac:dyDescent="0.35">
      <c r="A129" s="103"/>
      <c r="B129" s="23"/>
      <c r="C129" s="34"/>
      <c r="D129" s="34"/>
    </row>
    <row r="130" spans="1:4" ht="20" x14ac:dyDescent="0.35">
      <c r="A130" s="103"/>
      <c r="B130" s="23"/>
      <c r="C130" s="34"/>
      <c r="D130" s="34"/>
    </row>
    <row r="131" spans="1:4" ht="20" x14ac:dyDescent="0.35">
      <c r="A131" s="103"/>
      <c r="B131" s="23"/>
      <c r="C131" s="34"/>
      <c r="D131" s="34"/>
    </row>
    <row r="132" spans="1:4" ht="20" x14ac:dyDescent="0.35">
      <c r="A132" s="103"/>
      <c r="B132" s="23"/>
      <c r="C132" s="34"/>
      <c r="D132" s="34"/>
    </row>
    <row r="133" spans="1:4" ht="20" x14ac:dyDescent="0.35">
      <c r="A133" s="103"/>
      <c r="B133" s="23"/>
      <c r="C133" s="34"/>
      <c r="D133" s="34"/>
    </row>
    <row r="134" spans="1:4" ht="20" x14ac:dyDescent="0.35">
      <c r="A134" s="103"/>
      <c r="B134" s="23"/>
      <c r="C134" s="34"/>
      <c r="D134" s="34"/>
    </row>
    <row r="135" spans="1:4" ht="20" x14ac:dyDescent="0.35">
      <c r="A135" s="103"/>
      <c r="B135" s="23"/>
      <c r="C135" s="34"/>
      <c r="D135" s="34"/>
    </row>
    <row r="136" spans="1:4" ht="20" x14ac:dyDescent="0.35">
      <c r="A136" s="103"/>
      <c r="B136" s="23"/>
      <c r="C136" s="34"/>
      <c r="D136" s="34"/>
    </row>
    <row r="137" spans="1:4" ht="20" x14ac:dyDescent="0.35">
      <c r="A137" s="103"/>
      <c r="B137" s="23"/>
      <c r="C137" s="34"/>
      <c r="D137" s="34"/>
    </row>
    <row r="138" spans="1:4" ht="20" x14ac:dyDescent="0.35">
      <c r="A138" s="103"/>
      <c r="B138" s="23"/>
      <c r="C138" s="34"/>
      <c r="D138" s="34"/>
    </row>
    <row r="139" spans="1:4" ht="20" x14ac:dyDescent="0.35">
      <c r="A139" s="103"/>
      <c r="B139" s="23"/>
      <c r="C139" s="34"/>
      <c r="D139" s="34"/>
    </row>
    <row r="140" spans="1:4" ht="20" x14ac:dyDescent="0.35">
      <c r="A140" s="103"/>
      <c r="B140" s="23"/>
      <c r="C140" s="34"/>
      <c r="D140" s="34"/>
    </row>
    <row r="141" spans="1:4" ht="20" x14ac:dyDescent="0.35">
      <c r="A141" s="103"/>
      <c r="B141" s="23"/>
      <c r="C141" s="34"/>
      <c r="D141" s="34"/>
    </row>
    <row r="142" spans="1:4" ht="20" x14ac:dyDescent="0.35">
      <c r="A142" s="103"/>
      <c r="B142" s="23"/>
      <c r="C142" s="34"/>
      <c r="D142" s="34"/>
    </row>
    <row r="143" spans="1:4" ht="20" x14ac:dyDescent="0.35">
      <c r="A143" s="103"/>
      <c r="B143" s="23"/>
      <c r="C143" s="34"/>
      <c r="D143" s="34"/>
    </row>
    <row r="144" spans="1:4" ht="20" x14ac:dyDescent="0.35">
      <c r="A144" s="103"/>
      <c r="B144" s="23"/>
      <c r="C144" s="34"/>
      <c r="D144" s="34"/>
    </row>
    <row r="145" spans="1:4" ht="20" x14ac:dyDescent="0.35">
      <c r="A145" s="103"/>
      <c r="B145" s="23"/>
      <c r="C145" s="34"/>
      <c r="D145" s="34"/>
    </row>
    <row r="146" spans="1:4" ht="20" x14ac:dyDescent="0.35">
      <c r="A146" s="103"/>
      <c r="B146" s="23"/>
      <c r="C146" s="34"/>
      <c r="D146" s="34"/>
    </row>
    <row r="147" spans="1:4" ht="20" x14ac:dyDescent="0.35">
      <c r="A147" s="103"/>
      <c r="B147" s="23"/>
      <c r="C147" s="34"/>
      <c r="D147" s="34"/>
    </row>
    <row r="148" spans="1:4" ht="20" x14ac:dyDescent="0.35">
      <c r="A148" s="103"/>
      <c r="B148" s="23"/>
      <c r="C148" s="34"/>
      <c r="D148" s="34"/>
    </row>
    <row r="149" spans="1:4" ht="20" x14ac:dyDescent="0.35">
      <c r="A149" s="103"/>
      <c r="B149" s="23"/>
      <c r="C149" s="34"/>
      <c r="D149" s="34"/>
    </row>
    <row r="150" spans="1:4" ht="20" x14ac:dyDescent="0.35">
      <c r="A150" s="103"/>
      <c r="B150" s="23"/>
      <c r="C150" s="34"/>
      <c r="D150" s="34"/>
    </row>
    <row r="151" spans="1:4" ht="20" x14ac:dyDescent="0.35">
      <c r="A151" s="103"/>
      <c r="B151" s="23"/>
      <c r="C151" s="34"/>
      <c r="D151" s="34"/>
    </row>
    <row r="152" spans="1:4" ht="20" x14ac:dyDescent="0.35">
      <c r="A152" s="103"/>
      <c r="B152" s="23"/>
      <c r="C152" s="34"/>
      <c r="D152" s="34"/>
    </row>
    <row r="153" spans="1:4" ht="20" x14ac:dyDescent="0.35">
      <c r="A153" s="103"/>
      <c r="B153" s="23"/>
      <c r="C153" s="34"/>
      <c r="D153" s="34"/>
    </row>
    <row r="154" spans="1:4" ht="20" x14ac:dyDescent="0.35">
      <c r="A154" s="103"/>
      <c r="B154" s="23"/>
      <c r="C154" s="34"/>
      <c r="D154" s="34"/>
    </row>
    <row r="155" spans="1:4" ht="20" x14ac:dyDescent="0.35">
      <c r="A155" s="103"/>
      <c r="B155" s="23"/>
      <c r="C155" s="34"/>
      <c r="D155" s="34"/>
    </row>
    <row r="156" spans="1:4" ht="20" x14ac:dyDescent="0.35">
      <c r="A156" s="103"/>
      <c r="B156" s="23"/>
      <c r="C156" s="34"/>
      <c r="D156" s="34"/>
    </row>
    <row r="157" spans="1:4" ht="20" x14ac:dyDescent="0.35">
      <c r="A157" s="103"/>
      <c r="B157" s="23"/>
      <c r="C157" s="34"/>
      <c r="D157" s="34"/>
    </row>
    <row r="158" spans="1:4" ht="20" x14ac:dyDescent="0.35">
      <c r="A158" s="103"/>
      <c r="B158" s="23"/>
      <c r="C158" s="34"/>
      <c r="D158" s="34"/>
    </row>
    <row r="159" spans="1:4" ht="20" x14ac:dyDescent="0.35">
      <c r="A159" s="103"/>
      <c r="B159" s="23"/>
      <c r="C159" s="34"/>
      <c r="D159" s="34"/>
    </row>
    <row r="160" spans="1:4" ht="20" x14ac:dyDescent="0.35">
      <c r="A160" s="103"/>
      <c r="B160" s="23"/>
      <c r="C160" s="34"/>
      <c r="D160" s="34"/>
    </row>
    <row r="161" spans="1:4" ht="20" x14ac:dyDescent="0.35">
      <c r="A161" s="103"/>
      <c r="B161" s="23"/>
      <c r="C161" s="34"/>
      <c r="D161" s="34"/>
    </row>
    <row r="162" spans="1:4" ht="20" x14ac:dyDescent="0.35">
      <c r="A162" s="103"/>
      <c r="B162" s="23"/>
      <c r="C162" s="34"/>
      <c r="D162" s="34"/>
    </row>
    <row r="163" spans="1:4" ht="20" x14ac:dyDescent="0.35">
      <c r="A163" s="103"/>
      <c r="B163" s="23"/>
      <c r="C163" s="34"/>
      <c r="D163" s="34"/>
    </row>
    <row r="164" spans="1:4" ht="20" x14ac:dyDescent="0.35">
      <c r="A164" s="103"/>
      <c r="B164" s="23"/>
      <c r="C164" s="34"/>
      <c r="D164" s="34"/>
    </row>
    <row r="165" spans="1:4" ht="20" x14ac:dyDescent="0.35">
      <c r="A165" s="103"/>
      <c r="B165" s="23"/>
      <c r="C165" s="34"/>
      <c r="D165" s="34"/>
    </row>
    <row r="166" spans="1:4" ht="20" x14ac:dyDescent="0.35">
      <c r="A166" s="103"/>
      <c r="B166" s="23"/>
      <c r="C166" s="34"/>
      <c r="D166" s="34"/>
    </row>
    <row r="167" spans="1:4" ht="20" x14ac:dyDescent="0.35">
      <c r="A167" s="103"/>
      <c r="B167" s="23"/>
      <c r="C167" s="34"/>
      <c r="D167" s="34"/>
    </row>
    <row r="168" spans="1:4" ht="20" x14ac:dyDescent="0.35">
      <c r="A168" s="103"/>
      <c r="B168" s="23"/>
      <c r="C168" s="34"/>
      <c r="D168" s="34"/>
    </row>
    <row r="169" spans="1:4" ht="20" x14ac:dyDescent="0.35">
      <c r="A169" s="103"/>
      <c r="B169" s="23"/>
      <c r="C169" s="34"/>
      <c r="D169" s="34"/>
    </row>
    <row r="170" spans="1:4" ht="20" x14ac:dyDescent="0.35">
      <c r="A170" s="103"/>
      <c r="B170" s="23"/>
      <c r="C170" s="34"/>
      <c r="D170" s="34"/>
    </row>
    <row r="171" spans="1:4" ht="20" x14ac:dyDescent="0.35">
      <c r="A171" s="103"/>
      <c r="B171" s="23"/>
      <c r="C171" s="34"/>
      <c r="D171" s="34"/>
    </row>
    <row r="172" spans="1:4" ht="20" x14ac:dyDescent="0.35">
      <c r="A172" s="103"/>
      <c r="B172" s="23"/>
      <c r="C172" s="34"/>
      <c r="D172" s="34"/>
    </row>
    <row r="173" spans="1:4" ht="20" x14ac:dyDescent="0.35">
      <c r="A173" s="103"/>
      <c r="B173" s="23"/>
      <c r="C173" s="34"/>
      <c r="D173" s="34"/>
    </row>
    <row r="174" spans="1:4" ht="20" x14ac:dyDescent="0.35">
      <c r="A174" s="103"/>
      <c r="B174" s="23"/>
      <c r="C174" s="34"/>
      <c r="D174" s="34"/>
    </row>
    <row r="175" spans="1:4" ht="20" x14ac:dyDescent="0.35">
      <c r="A175" s="103"/>
      <c r="B175" s="23"/>
      <c r="C175" s="34"/>
      <c r="D175" s="34"/>
    </row>
    <row r="176" spans="1:4" ht="20" x14ac:dyDescent="0.35">
      <c r="A176" s="103"/>
      <c r="B176" s="23"/>
      <c r="C176" s="34"/>
      <c r="D176" s="34"/>
    </row>
    <row r="177" spans="1:4" ht="20" x14ac:dyDescent="0.35">
      <c r="A177" s="103"/>
      <c r="B177" s="23"/>
      <c r="C177" s="34"/>
      <c r="D177" s="34"/>
    </row>
    <row r="178" spans="1:4" ht="20" x14ac:dyDescent="0.35">
      <c r="A178" s="103"/>
      <c r="B178" s="23"/>
      <c r="C178" s="34"/>
      <c r="D178" s="34"/>
    </row>
    <row r="179" spans="1:4" ht="20" x14ac:dyDescent="0.35">
      <c r="A179" s="103"/>
      <c r="B179" s="23"/>
      <c r="C179" s="34"/>
      <c r="D179" s="34"/>
    </row>
    <row r="180" spans="1:4" ht="20" x14ac:dyDescent="0.35">
      <c r="A180" s="103"/>
      <c r="B180" s="23"/>
      <c r="C180" s="34"/>
      <c r="D180" s="34"/>
    </row>
    <row r="181" spans="1:4" ht="20" x14ac:dyDescent="0.35">
      <c r="A181" s="103"/>
      <c r="B181" s="23"/>
      <c r="C181" s="34"/>
      <c r="D181" s="34"/>
    </row>
    <row r="182" spans="1:4" ht="20" x14ac:dyDescent="0.35">
      <c r="A182" s="103"/>
      <c r="B182" s="23"/>
      <c r="C182" s="34"/>
      <c r="D182" s="34"/>
    </row>
    <row r="183" spans="1:4" ht="20" x14ac:dyDescent="0.35">
      <c r="A183" s="103"/>
      <c r="B183" s="23"/>
      <c r="C183" s="34"/>
      <c r="D183" s="34"/>
    </row>
    <row r="184" spans="1:4" ht="20" x14ac:dyDescent="0.35">
      <c r="A184" s="103"/>
      <c r="B184" s="23"/>
      <c r="C184" s="34"/>
      <c r="D184" s="34"/>
    </row>
    <row r="185" spans="1:4" ht="20" x14ac:dyDescent="0.35">
      <c r="A185" s="103"/>
      <c r="B185" s="23"/>
      <c r="C185" s="34"/>
      <c r="D185" s="34"/>
    </row>
    <row r="186" spans="1:4" ht="20" x14ac:dyDescent="0.35">
      <c r="A186" s="103"/>
      <c r="B186" s="23"/>
      <c r="C186" s="34"/>
      <c r="D186" s="34"/>
    </row>
    <row r="187" spans="1:4" ht="20" x14ac:dyDescent="0.35">
      <c r="A187" s="103"/>
      <c r="B187" s="23"/>
      <c r="C187" s="34"/>
      <c r="D187" s="34"/>
    </row>
    <row r="188" spans="1:4" ht="20" x14ac:dyDescent="0.35">
      <c r="A188" s="103"/>
      <c r="B188" s="23"/>
      <c r="C188" s="34"/>
      <c r="D188" s="34"/>
    </row>
    <row r="189" spans="1:4" ht="20" x14ac:dyDescent="0.35">
      <c r="A189" s="103"/>
      <c r="B189" s="23"/>
      <c r="C189" s="34"/>
      <c r="D189" s="34"/>
    </row>
    <row r="190" spans="1:4" ht="20" x14ac:dyDescent="0.35">
      <c r="A190" s="103"/>
      <c r="B190" s="23"/>
      <c r="C190" s="34"/>
      <c r="D190" s="34"/>
    </row>
    <row r="191" spans="1:4" ht="20" x14ac:dyDescent="0.35">
      <c r="A191" s="103"/>
      <c r="B191" s="23"/>
      <c r="C191" s="34"/>
      <c r="D191" s="34"/>
    </row>
    <row r="192" spans="1:4" ht="20" x14ac:dyDescent="0.35">
      <c r="A192" s="103"/>
      <c r="B192" s="23"/>
      <c r="C192" s="34"/>
      <c r="D192" s="34"/>
    </row>
    <row r="193" spans="1:4" ht="20" x14ac:dyDescent="0.35">
      <c r="A193" s="103"/>
      <c r="B193" s="23"/>
      <c r="C193" s="34"/>
      <c r="D193" s="34"/>
    </row>
    <row r="194" spans="1:4" ht="20" x14ac:dyDescent="0.35">
      <c r="A194" s="103"/>
      <c r="B194" s="23"/>
      <c r="C194" s="34"/>
      <c r="D194" s="34"/>
    </row>
    <row r="195" spans="1:4" ht="20" x14ac:dyDescent="0.35">
      <c r="A195" s="103"/>
      <c r="B195" s="23"/>
      <c r="C195" s="34"/>
      <c r="D195" s="34"/>
    </row>
    <row r="196" spans="1:4" ht="20" x14ac:dyDescent="0.35">
      <c r="A196" s="103"/>
      <c r="B196" s="23"/>
      <c r="C196" s="34"/>
      <c r="D196" s="34"/>
    </row>
    <row r="197" spans="1:4" ht="20" x14ac:dyDescent="0.35">
      <c r="A197" s="103"/>
      <c r="B197" s="23"/>
      <c r="C197" s="34"/>
      <c r="D197" s="34"/>
    </row>
    <row r="198" spans="1:4" ht="20" x14ac:dyDescent="0.35">
      <c r="A198" s="103"/>
      <c r="B198" s="23"/>
      <c r="C198" s="34"/>
      <c r="D198" s="34"/>
    </row>
    <row r="199" spans="1:4" ht="20" x14ac:dyDescent="0.35">
      <c r="A199" s="103"/>
      <c r="B199" s="23"/>
      <c r="C199" s="34"/>
      <c r="D199" s="34"/>
    </row>
    <row r="200" spans="1:4" ht="20" x14ac:dyDescent="0.35">
      <c r="A200" s="103"/>
      <c r="B200" s="23"/>
      <c r="C200" s="34"/>
      <c r="D200" s="34"/>
    </row>
    <row r="201" spans="1:4" ht="20" x14ac:dyDescent="0.35">
      <c r="A201" s="103"/>
      <c r="B201" s="23"/>
      <c r="C201" s="34"/>
      <c r="D201" s="34"/>
    </row>
    <row r="202" spans="1:4" ht="20" x14ac:dyDescent="0.35">
      <c r="A202" s="103"/>
      <c r="B202" s="23"/>
      <c r="C202" s="34"/>
      <c r="D202" s="34"/>
    </row>
    <row r="203" spans="1:4" ht="20" x14ac:dyDescent="0.35">
      <c r="A203" s="103"/>
      <c r="B203" s="23"/>
      <c r="C203" s="34"/>
      <c r="D203" s="34"/>
    </row>
    <row r="204" spans="1:4" ht="20" x14ac:dyDescent="0.35">
      <c r="A204" s="103"/>
      <c r="B204" s="23"/>
      <c r="C204" s="34"/>
      <c r="D204" s="34"/>
    </row>
    <row r="205" spans="1:4" ht="20" x14ac:dyDescent="0.35">
      <c r="A205" s="103"/>
      <c r="B205" s="23"/>
      <c r="C205" s="34"/>
      <c r="D205" s="34"/>
    </row>
    <row r="206" spans="1:4" ht="20" x14ac:dyDescent="0.35">
      <c r="A206" s="103"/>
      <c r="B206" s="23"/>
      <c r="C206" s="34"/>
      <c r="D206" s="34"/>
    </row>
    <row r="207" spans="1:4" ht="20" x14ac:dyDescent="0.35">
      <c r="A207" s="103"/>
      <c r="B207" s="23"/>
      <c r="C207" s="34"/>
      <c r="D207" s="34"/>
    </row>
    <row r="208" spans="1:4" x14ac:dyDescent="0.35">
      <c r="A208" s="83"/>
      <c r="B208" s="23"/>
      <c r="C208" s="23"/>
      <c r="D208" s="23"/>
    </row>
    <row r="209" spans="1:8" ht="20" x14ac:dyDescent="0.35">
      <c r="A209" s="83"/>
      <c r="B209" s="30" t="s">
        <v>85</v>
      </c>
      <c r="C209" s="30" t="s">
        <v>128</v>
      </c>
      <c r="D209" s="33" t="s">
        <v>85</v>
      </c>
      <c r="E209" s="33" t="s">
        <v>128</v>
      </c>
    </row>
    <row r="210" spans="1:8" ht="21" x14ac:dyDescent="0.5">
      <c r="A210" s="83"/>
      <c r="B210" s="31" t="s">
        <v>87</v>
      </c>
      <c r="C210" s="31"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 x14ac:dyDescent="0.5">
      <c r="A211" s="83"/>
      <c r="B211" s="31" t="s">
        <v>87</v>
      </c>
      <c r="C211" s="31" t="s">
        <v>90</v>
      </c>
      <c r="E211" t="s">
        <v>56</v>
      </c>
      <c r="F211" t="str">
        <f t="shared" ref="F211:F221" si="0">IF(NOT(ISBLANK(D211)),D211,IF(NOT(ISBLANK(E211)),"     "&amp;E211,FALSE))</f>
        <v xml:space="preserve">     Afectación menor a 10 SMLMV .</v>
      </c>
    </row>
    <row r="212" spans="1:8" ht="21" x14ac:dyDescent="0.5">
      <c r="A212" s="83"/>
      <c r="B212" s="31" t="s">
        <v>87</v>
      </c>
      <c r="C212" s="31" t="s">
        <v>91</v>
      </c>
      <c r="E212" t="s">
        <v>90</v>
      </c>
      <c r="F212" t="str">
        <f t="shared" si="0"/>
        <v xml:space="preserve">     Entre 10 y 50 SMLMV </v>
      </c>
    </row>
    <row r="213" spans="1:8" ht="21" x14ac:dyDescent="0.5">
      <c r="A213" s="83"/>
      <c r="B213" s="31" t="s">
        <v>87</v>
      </c>
      <c r="C213" s="31" t="s">
        <v>92</v>
      </c>
      <c r="E213" t="s">
        <v>91</v>
      </c>
      <c r="F213" t="str">
        <f t="shared" si="0"/>
        <v xml:space="preserve">     Entre 50 y 100 SMLMV </v>
      </c>
    </row>
    <row r="214" spans="1:8" ht="21" x14ac:dyDescent="0.5">
      <c r="A214" s="83"/>
      <c r="B214" s="31" t="s">
        <v>87</v>
      </c>
      <c r="C214" s="31" t="s">
        <v>93</v>
      </c>
      <c r="E214" t="s">
        <v>92</v>
      </c>
      <c r="F214" t="str">
        <f t="shared" si="0"/>
        <v xml:space="preserve">     Entre 100 y 500 SMLMV </v>
      </c>
    </row>
    <row r="215" spans="1:8" ht="21" x14ac:dyDescent="0.5">
      <c r="A215" s="83"/>
      <c r="B215" s="31" t="s">
        <v>55</v>
      </c>
      <c r="C215" s="31" t="s">
        <v>94</v>
      </c>
      <c r="E215" t="s">
        <v>93</v>
      </c>
      <c r="F215" t="str">
        <f t="shared" si="0"/>
        <v xml:space="preserve">     Mayor a 500 SMLMV </v>
      </c>
    </row>
    <row r="216" spans="1:8" ht="21" x14ac:dyDescent="0.5">
      <c r="A216" s="83"/>
      <c r="B216" s="31" t="s">
        <v>55</v>
      </c>
      <c r="C216" s="31" t="s">
        <v>95</v>
      </c>
      <c r="D216" t="s">
        <v>55</v>
      </c>
      <c r="F216" t="str">
        <f t="shared" si="0"/>
        <v>Pérdida Reputacional</v>
      </c>
    </row>
    <row r="217" spans="1:8" ht="21" x14ac:dyDescent="0.5">
      <c r="A217" s="83"/>
      <c r="B217" s="31" t="s">
        <v>55</v>
      </c>
      <c r="C217" s="31" t="s">
        <v>97</v>
      </c>
      <c r="E217" t="s">
        <v>94</v>
      </c>
      <c r="F217" t="str">
        <f t="shared" si="0"/>
        <v xml:space="preserve">     El riesgo afecta la imagen de alguna área de la organización</v>
      </c>
    </row>
    <row r="218" spans="1:8" ht="21" x14ac:dyDescent="0.5">
      <c r="A218" s="83"/>
      <c r="B218" s="31" t="s">
        <v>55</v>
      </c>
      <c r="C218" s="31" t="s">
        <v>96</v>
      </c>
      <c r="E218" t="s">
        <v>95</v>
      </c>
      <c r="F218" t="str">
        <f t="shared" si="0"/>
        <v xml:space="preserve">     El riesgo afecta la imagen de la entidad internamente, de conocimiento general, nivel interno, de junta dircetiva y accionistas y/o de provedores</v>
      </c>
    </row>
    <row r="219" spans="1:8" ht="21" x14ac:dyDescent="0.5">
      <c r="A219" s="83"/>
      <c r="B219" s="31" t="s">
        <v>55</v>
      </c>
      <c r="C219" s="31" t="s">
        <v>110</v>
      </c>
      <c r="E219" t="s">
        <v>97</v>
      </c>
      <c r="F219" t="str">
        <f t="shared" si="0"/>
        <v xml:space="preserve">     El riesgo afecta la imagen de la entidad con algunos usuarios de relevancia frente al logro de los objetivos</v>
      </c>
    </row>
    <row r="220" spans="1:8" x14ac:dyDescent="0.35">
      <c r="A220" s="83"/>
      <c r="B220" s="32"/>
      <c r="C220" s="32"/>
      <c r="E220" t="s">
        <v>96</v>
      </c>
      <c r="F220" t="str">
        <f t="shared" si="0"/>
        <v xml:space="preserve">     El riesgo afecta la imagen de de la entidad con efecto publicitario sostenido a nivel de sector administrativo, nivel departamental o municipal</v>
      </c>
    </row>
    <row r="221" spans="1:8" x14ac:dyDescent="0.35">
      <c r="A221" s="83"/>
      <c r="B221" s="32" t="e" cm="1">
        <f t="array" aca="1" ref="B221:B223" ca="1">_xlfn.UNIQUE(Tabla1[[#All],[Criterios]])</f>
        <v>#NAME?</v>
      </c>
      <c r="C221" s="32"/>
      <c r="E221" t="s">
        <v>110</v>
      </c>
      <c r="F221" t="str">
        <f t="shared" si="0"/>
        <v xml:space="preserve">     El riesgo afecta la imagen de la entidad a nivel nacional, con efecto publicitarios sostenible a nivel país</v>
      </c>
    </row>
    <row r="222" spans="1:8" x14ac:dyDescent="0.35">
      <c r="A222" s="83"/>
      <c r="B222" s="32" t="e">
        <f ca="1"/>
        <v>#NAME?</v>
      </c>
      <c r="C222" s="32"/>
    </row>
    <row r="223" spans="1:8" x14ac:dyDescent="0.35">
      <c r="B223" s="32" t="e">
        <f ca="1"/>
        <v>#NAME?</v>
      </c>
      <c r="C223" s="32"/>
      <c r="F223" s="35" t="s">
        <v>130</v>
      </c>
    </row>
    <row r="224" spans="1:8" x14ac:dyDescent="0.35">
      <c r="B224" s="22"/>
      <c r="C224" s="22"/>
      <c r="F224" s="35" t="s">
        <v>131</v>
      </c>
    </row>
    <row r="225" spans="2:4" x14ac:dyDescent="0.35">
      <c r="B225" s="22"/>
      <c r="C225" s="22"/>
    </row>
    <row r="226" spans="2:4" x14ac:dyDescent="0.35">
      <c r="B226" s="22"/>
      <c r="C226" s="22"/>
    </row>
    <row r="227" spans="2:4" x14ac:dyDescent="0.35">
      <c r="B227" s="22" t="s">
        <v>200</v>
      </c>
      <c r="C227" s="22"/>
      <c r="D227" s="22"/>
    </row>
    <row r="228" spans="2:4" x14ac:dyDescent="0.35">
      <c r="B228" t="s">
        <v>85</v>
      </c>
      <c r="C228" s="22" t="s">
        <v>128</v>
      </c>
      <c r="D228" s="33" t="s">
        <v>201</v>
      </c>
    </row>
    <row r="229" spans="2:4" x14ac:dyDescent="0.35">
      <c r="B229" s="146" t="s">
        <v>203</v>
      </c>
      <c r="C229" s="22" t="s">
        <v>193</v>
      </c>
      <c r="D229" s="144" t="s">
        <v>203</v>
      </c>
    </row>
    <row r="230" spans="2:4" x14ac:dyDescent="0.35">
      <c r="B230" s="146" t="s">
        <v>203</v>
      </c>
      <c r="C230" s="22" t="s">
        <v>194</v>
      </c>
      <c r="D230" s="145" t="s">
        <v>193</v>
      </c>
    </row>
    <row r="231" spans="2:4" x14ac:dyDescent="0.35">
      <c r="B231" s="146" t="s">
        <v>203</v>
      </c>
      <c r="C231" s="22" t="s">
        <v>195</v>
      </c>
      <c r="D231" s="145" t="s">
        <v>194</v>
      </c>
    </row>
    <row r="232" spans="2:4" x14ac:dyDescent="0.35">
      <c r="B232" s="146" t="s">
        <v>204</v>
      </c>
      <c r="C232" s="22" t="s">
        <v>196</v>
      </c>
      <c r="D232" s="145" t="s">
        <v>195</v>
      </c>
    </row>
    <row r="233" spans="2:4" x14ac:dyDescent="0.35">
      <c r="B233" s="146" t="s">
        <v>204</v>
      </c>
      <c r="C233" s="22" t="s">
        <v>197</v>
      </c>
      <c r="D233" s="144" t="s">
        <v>204</v>
      </c>
    </row>
    <row r="234" spans="2:4" x14ac:dyDescent="0.35">
      <c r="B234" s="146" t="s">
        <v>204</v>
      </c>
      <c r="C234" s="22" t="s">
        <v>198</v>
      </c>
      <c r="D234" s="145" t="s">
        <v>196</v>
      </c>
    </row>
    <row r="235" spans="2:4" x14ac:dyDescent="0.35">
      <c r="B235" s="146" t="s">
        <v>204</v>
      </c>
      <c r="C235" s="22" t="s">
        <v>199</v>
      </c>
      <c r="D235" s="145" t="s">
        <v>197</v>
      </c>
    </row>
    <row r="236" spans="2:4" x14ac:dyDescent="0.35">
      <c r="D236" s="145" t="s">
        <v>198</v>
      </c>
    </row>
    <row r="237" spans="2:4" x14ac:dyDescent="0.35">
      <c r="D237" s="145" t="s">
        <v>199</v>
      </c>
    </row>
    <row r="238" spans="2:4" x14ac:dyDescent="0.35">
      <c r="D238" s="144" t="s">
        <v>202</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26953125" defaultRowHeight="13" x14ac:dyDescent="0.3"/>
  <cols>
    <col min="1" max="2" width="14.26953125" style="88"/>
    <col min="3" max="3" width="17" style="88" customWidth="1"/>
    <col min="4" max="4" width="14.26953125" style="88"/>
    <col min="5" max="5" width="46" style="88" customWidth="1"/>
    <col min="6" max="16384" width="14.26953125" style="88"/>
  </cols>
  <sheetData>
    <row r="1" spans="2:6" ht="24" customHeight="1" thickBot="1" x14ac:dyDescent="0.35">
      <c r="B1" s="393" t="s">
        <v>205</v>
      </c>
      <c r="C1" s="394"/>
      <c r="D1" s="394"/>
      <c r="E1" s="394"/>
      <c r="F1" s="395"/>
    </row>
    <row r="2" spans="2:6" ht="16" thickBot="1" x14ac:dyDescent="0.4">
      <c r="B2" s="89"/>
      <c r="C2" s="89"/>
      <c r="D2" s="89"/>
      <c r="E2" s="89"/>
      <c r="F2" s="89"/>
    </row>
    <row r="3" spans="2:6" ht="16" thickBot="1" x14ac:dyDescent="0.35">
      <c r="B3" s="397" t="s">
        <v>62</v>
      </c>
      <c r="C3" s="398"/>
      <c r="D3" s="398"/>
      <c r="E3" s="101" t="s">
        <v>63</v>
      </c>
      <c r="F3" s="102" t="s">
        <v>64</v>
      </c>
    </row>
    <row r="4" spans="2:6" ht="31" x14ac:dyDescent="0.3">
      <c r="B4" s="399" t="s">
        <v>65</v>
      </c>
      <c r="C4" s="401" t="s">
        <v>12</v>
      </c>
      <c r="D4" s="90" t="s">
        <v>13</v>
      </c>
      <c r="E4" s="91" t="s">
        <v>66</v>
      </c>
      <c r="F4" s="92">
        <v>0.25</v>
      </c>
    </row>
    <row r="5" spans="2:6" ht="46.5" x14ac:dyDescent="0.3">
      <c r="B5" s="400"/>
      <c r="C5" s="402"/>
      <c r="D5" s="93" t="s">
        <v>14</v>
      </c>
      <c r="E5" s="94" t="s">
        <v>67</v>
      </c>
      <c r="F5" s="95">
        <v>0.15</v>
      </c>
    </row>
    <row r="6" spans="2:6" ht="46.5" x14ac:dyDescent="0.3">
      <c r="B6" s="400"/>
      <c r="C6" s="402"/>
      <c r="D6" s="93" t="s">
        <v>15</v>
      </c>
      <c r="E6" s="94" t="s">
        <v>68</v>
      </c>
      <c r="F6" s="95">
        <v>0.1</v>
      </c>
    </row>
    <row r="7" spans="2:6" ht="62" x14ac:dyDescent="0.3">
      <c r="B7" s="400"/>
      <c r="C7" s="402" t="s">
        <v>16</v>
      </c>
      <c r="D7" s="93" t="s">
        <v>9</v>
      </c>
      <c r="E7" s="94" t="s">
        <v>69</v>
      </c>
      <c r="F7" s="95">
        <v>0.25</v>
      </c>
    </row>
    <row r="8" spans="2:6" ht="31" x14ac:dyDescent="0.3">
      <c r="B8" s="400"/>
      <c r="C8" s="402"/>
      <c r="D8" s="93" t="s">
        <v>8</v>
      </c>
      <c r="E8" s="94" t="s">
        <v>70</v>
      </c>
      <c r="F8" s="95">
        <v>0.15</v>
      </c>
    </row>
    <row r="9" spans="2:6" ht="46.5" x14ac:dyDescent="0.3">
      <c r="B9" s="400" t="s">
        <v>145</v>
      </c>
      <c r="C9" s="402" t="s">
        <v>17</v>
      </c>
      <c r="D9" s="93" t="s">
        <v>18</v>
      </c>
      <c r="E9" s="94" t="s">
        <v>71</v>
      </c>
      <c r="F9" s="96" t="s">
        <v>72</v>
      </c>
    </row>
    <row r="10" spans="2:6" ht="46.5" x14ac:dyDescent="0.3">
      <c r="B10" s="400"/>
      <c r="C10" s="402"/>
      <c r="D10" s="93" t="s">
        <v>19</v>
      </c>
      <c r="E10" s="94" t="s">
        <v>73</v>
      </c>
      <c r="F10" s="96" t="s">
        <v>72</v>
      </c>
    </row>
    <row r="11" spans="2:6" ht="46.5" x14ac:dyDescent="0.3">
      <c r="B11" s="400"/>
      <c r="C11" s="402" t="s">
        <v>20</v>
      </c>
      <c r="D11" s="93" t="s">
        <v>21</v>
      </c>
      <c r="E11" s="94" t="s">
        <v>74</v>
      </c>
      <c r="F11" s="96" t="s">
        <v>72</v>
      </c>
    </row>
    <row r="12" spans="2:6" ht="46.5" x14ac:dyDescent="0.3">
      <c r="B12" s="400"/>
      <c r="C12" s="402"/>
      <c r="D12" s="93" t="s">
        <v>22</v>
      </c>
      <c r="E12" s="94" t="s">
        <v>75</v>
      </c>
      <c r="F12" s="96" t="s">
        <v>72</v>
      </c>
    </row>
    <row r="13" spans="2:6" ht="31" x14ac:dyDescent="0.3">
      <c r="B13" s="400"/>
      <c r="C13" s="402" t="s">
        <v>23</v>
      </c>
      <c r="D13" s="93" t="s">
        <v>111</v>
      </c>
      <c r="E13" s="94" t="s">
        <v>114</v>
      </c>
      <c r="F13" s="96" t="s">
        <v>72</v>
      </c>
    </row>
    <row r="14" spans="2:6" ht="16" thickBot="1" x14ac:dyDescent="0.35">
      <c r="B14" s="403"/>
      <c r="C14" s="404"/>
      <c r="D14" s="97" t="s">
        <v>112</v>
      </c>
      <c r="E14" s="98" t="s">
        <v>113</v>
      </c>
      <c r="F14" s="99" t="s">
        <v>72</v>
      </c>
    </row>
    <row r="15" spans="2:6" ht="49.5" customHeight="1" x14ac:dyDescent="0.3">
      <c r="B15" s="396" t="s">
        <v>142</v>
      </c>
      <c r="C15" s="396"/>
      <c r="D15" s="396"/>
      <c r="E15" s="396"/>
      <c r="F15" s="396"/>
    </row>
    <row r="16" spans="2:6" ht="27" customHeight="1" x14ac:dyDescent="0.3">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E2" sqref="E2"/>
    </sheetView>
  </sheetViews>
  <sheetFormatPr baseColWidth="10" defaultRowHeight="14.5" x14ac:dyDescent="0.35"/>
  <cols>
    <col min="1" max="1" width="57.81640625" customWidth="1"/>
    <col min="3" max="3" width="32" bestFit="1" customWidth="1"/>
    <col min="4" max="4" width="119.26953125" bestFit="1" customWidth="1"/>
    <col min="5" max="5" width="81" customWidth="1"/>
  </cols>
  <sheetData>
    <row r="1" spans="1:5" ht="15" thickBot="1" x14ac:dyDescent="0.4">
      <c r="A1" s="140" t="s">
        <v>175</v>
      </c>
      <c r="D1" s="405" t="s">
        <v>176</v>
      </c>
      <c r="E1" s="406"/>
    </row>
    <row r="2" spans="1:5" x14ac:dyDescent="0.35">
      <c r="A2" s="149" t="s">
        <v>270</v>
      </c>
      <c r="D2" s="407" t="s">
        <v>177</v>
      </c>
      <c r="E2" s="148" t="s">
        <v>247</v>
      </c>
    </row>
    <row r="3" spans="1:5" x14ac:dyDescent="0.35">
      <c r="A3" s="150" t="s">
        <v>271</v>
      </c>
      <c r="D3" s="408"/>
      <c r="E3" s="148" t="s">
        <v>248</v>
      </c>
    </row>
    <row r="4" spans="1:5" x14ac:dyDescent="0.35">
      <c r="A4" s="150" t="s">
        <v>272</v>
      </c>
      <c r="D4" s="408"/>
      <c r="E4" s="148" t="s">
        <v>249</v>
      </c>
    </row>
    <row r="5" spans="1:5" x14ac:dyDescent="0.35">
      <c r="A5" s="151" t="s">
        <v>273</v>
      </c>
      <c r="D5" s="409"/>
      <c r="E5" s="148" t="s">
        <v>250</v>
      </c>
    </row>
    <row r="6" spans="1:5" x14ac:dyDescent="0.35">
      <c r="A6" s="152" t="s">
        <v>274</v>
      </c>
      <c r="D6" s="407" t="s">
        <v>178</v>
      </c>
      <c r="E6" s="148" t="s">
        <v>251</v>
      </c>
    </row>
    <row r="7" spans="1:5" x14ac:dyDescent="0.35">
      <c r="A7" s="152" t="s">
        <v>275</v>
      </c>
      <c r="D7" s="408"/>
      <c r="E7" s="148" t="s">
        <v>252</v>
      </c>
    </row>
    <row r="8" spans="1:5" x14ac:dyDescent="0.35">
      <c r="A8" s="151" t="s">
        <v>276</v>
      </c>
      <c r="D8" s="408"/>
      <c r="E8" s="148" t="s">
        <v>253</v>
      </c>
    </row>
    <row r="9" spans="1:5" x14ac:dyDescent="0.35">
      <c r="A9" s="151" t="s">
        <v>277</v>
      </c>
      <c r="D9" s="407" t="s">
        <v>179</v>
      </c>
      <c r="E9" s="148" t="s">
        <v>254</v>
      </c>
    </row>
    <row r="10" spans="1:5" x14ac:dyDescent="0.35">
      <c r="A10" s="153" t="s">
        <v>278</v>
      </c>
      <c r="D10" s="408"/>
      <c r="E10" s="148" t="s">
        <v>255</v>
      </c>
    </row>
    <row r="11" spans="1:5" x14ac:dyDescent="0.35">
      <c r="A11" s="153" t="s">
        <v>279</v>
      </c>
      <c r="D11" s="407" t="s">
        <v>180</v>
      </c>
      <c r="E11" s="148" t="s">
        <v>256</v>
      </c>
    </row>
    <row r="12" spans="1:5" x14ac:dyDescent="0.35">
      <c r="A12" s="153" t="s">
        <v>280</v>
      </c>
      <c r="D12" s="408"/>
      <c r="E12" s="148" t="s">
        <v>257</v>
      </c>
    </row>
    <row r="13" spans="1:5" x14ac:dyDescent="0.35">
      <c r="A13" s="153" t="s">
        <v>281</v>
      </c>
      <c r="D13" s="409"/>
      <c r="E13" s="148" t="s">
        <v>258</v>
      </c>
    </row>
    <row r="14" spans="1:5" x14ac:dyDescent="0.35">
      <c r="A14" s="153" t="s">
        <v>282</v>
      </c>
      <c r="E14" s="148" t="s">
        <v>259</v>
      </c>
    </row>
    <row r="15" spans="1:5" x14ac:dyDescent="0.35">
      <c r="A15" s="153" t="s">
        <v>283</v>
      </c>
      <c r="D15" s="142" t="s">
        <v>184</v>
      </c>
      <c r="E15" s="148" t="s">
        <v>260</v>
      </c>
    </row>
    <row r="16" spans="1:5" x14ac:dyDescent="0.35">
      <c r="A16" s="153" t="s">
        <v>284</v>
      </c>
      <c r="D16" s="143" t="s">
        <v>185</v>
      </c>
      <c r="E16" s="148" t="s">
        <v>261</v>
      </c>
    </row>
    <row r="17" spans="1:7" ht="15" thickBot="1" x14ac:dyDescent="0.4">
      <c r="A17" s="154" t="s">
        <v>285</v>
      </c>
      <c r="D17" s="143" t="s">
        <v>186</v>
      </c>
      <c r="E17" s="148" t="s">
        <v>262</v>
      </c>
    </row>
    <row r="18" spans="1:7" x14ac:dyDescent="0.35">
      <c r="A18" s="141"/>
      <c r="D18" s="143" t="s">
        <v>187</v>
      </c>
      <c r="E18" s="148" t="s">
        <v>263</v>
      </c>
    </row>
    <row r="19" spans="1:7" x14ac:dyDescent="0.35">
      <c r="A19" s="141"/>
      <c r="D19" s="143" t="s">
        <v>188</v>
      </c>
      <c r="E19" s="148" t="s">
        <v>264</v>
      </c>
    </row>
    <row r="20" spans="1:7" x14ac:dyDescent="0.35">
      <c r="A20" s="141"/>
      <c r="D20" s="143" t="s">
        <v>189</v>
      </c>
      <c r="E20" s="148" t="s">
        <v>265</v>
      </c>
    </row>
    <row r="21" spans="1:7" x14ac:dyDescent="0.35">
      <c r="A21" s="143"/>
      <c r="D21" s="143" t="s">
        <v>190</v>
      </c>
      <c r="E21" s="148" t="s">
        <v>266</v>
      </c>
    </row>
    <row r="22" spans="1:7" x14ac:dyDescent="0.35">
      <c r="A22" s="141"/>
      <c r="D22" s="143" t="s">
        <v>191</v>
      </c>
      <c r="E22" s="148" t="s">
        <v>267</v>
      </c>
    </row>
    <row r="23" spans="1:7" x14ac:dyDescent="0.35">
      <c r="A23" s="147"/>
      <c r="E23" s="148" t="s">
        <v>268</v>
      </c>
    </row>
    <row r="24" spans="1:7" x14ac:dyDescent="0.35">
      <c r="A24" s="142" t="s">
        <v>192</v>
      </c>
      <c r="E24" s="148" t="s">
        <v>269</v>
      </c>
    </row>
    <row r="25" spans="1:7" ht="20" x14ac:dyDescent="0.35">
      <c r="A25" s="143" t="s">
        <v>185</v>
      </c>
      <c r="B25" s="30"/>
    </row>
    <row r="26" spans="1:7" ht="21" x14ac:dyDescent="0.5">
      <c r="A26" s="143" t="s">
        <v>186</v>
      </c>
      <c r="B26" s="31"/>
      <c r="F26" t="s">
        <v>87</v>
      </c>
      <c r="G26" t="str">
        <f ca="1">IF(NOT(ISERROR(MATCH(F26,_xlfn.ANCHORARRAY(A37),0))),E39&amp;"Por favor no seleccionar los criterios de impacto",F26)</f>
        <v>Afectación Económica o presupuestal</v>
      </c>
    </row>
    <row r="27" spans="1:7" ht="21" x14ac:dyDescent="0.5">
      <c r="A27" s="143" t="s">
        <v>187</v>
      </c>
      <c r="B27" s="31"/>
    </row>
    <row r="28" spans="1:7" ht="21" x14ac:dyDescent="0.5">
      <c r="A28" s="143" t="s">
        <v>188</v>
      </c>
      <c r="B28" s="31"/>
    </row>
    <row r="29" spans="1:7" ht="21" x14ac:dyDescent="0.5">
      <c r="A29" s="143" t="s">
        <v>189</v>
      </c>
      <c r="B29" s="31"/>
    </row>
    <row r="30" spans="1:7" ht="21" x14ac:dyDescent="0.5">
      <c r="A30" s="143" t="s">
        <v>190</v>
      </c>
      <c r="B30" s="31"/>
    </row>
    <row r="31" spans="1:7" ht="21" x14ac:dyDescent="0.5">
      <c r="A31" s="143" t="s">
        <v>191</v>
      </c>
      <c r="B31" s="31"/>
    </row>
    <row r="32" spans="1:7" ht="21" x14ac:dyDescent="0.5">
      <c r="A32" s="31"/>
      <c r="B32" s="31"/>
    </row>
    <row r="33" spans="1:2" ht="21" x14ac:dyDescent="0.5">
      <c r="A33" s="31"/>
      <c r="B33" s="31"/>
    </row>
    <row r="34" spans="1:2" ht="21" x14ac:dyDescent="0.5">
      <c r="A34" s="31"/>
      <c r="B34" s="31"/>
    </row>
    <row r="35" spans="1:2" ht="21" x14ac:dyDescent="0.5">
      <c r="A35" s="31"/>
      <c r="B35" s="31"/>
    </row>
    <row r="36" spans="1:2" x14ac:dyDescent="0.35">
      <c r="A36" s="32"/>
      <c r="B36" s="32"/>
    </row>
  </sheetData>
  <mergeCells count="5">
    <mergeCell ref="D1:E1"/>
    <mergeCell ref="D2:D5"/>
    <mergeCell ref="D6:D8"/>
    <mergeCell ref="D9:D10"/>
    <mergeCell ref="D11:D13"/>
  </mergeCells>
  <conditionalFormatting sqref="E2:E24">
    <cfRule type="duplicateValues" dxfId="0" priority="1"/>
  </conditionalFormatting>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4.5" x14ac:dyDescent="0.35"/>
  <sheetData>
    <row r="2" spans="2:5" x14ac:dyDescent="0.35">
      <c r="B2" t="s">
        <v>30</v>
      </c>
      <c r="E2" t="s">
        <v>117</v>
      </c>
    </row>
    <row r="3" spans="2:5" x14ac:dyDescent="0.35">
      <c r="B3" t="s">
        <v>31</v>
      </c>
      <c r="E3" t="s">
        <v>116</v>
      </c>
    </row>
    <row r="4" spans="2:5" x14ac:dyDescent="0.35">
      <c r="B4" t="s">
        <v>121</v>
      </c>
      <c r="E4" t="s">
        <v>118</v>
      </c>
    </row>
    <row r="5" spans="2:5" x14ac:dyDescent="0.35">
      <c r="B5" t="s">
        <v>120</v>
      </c>
    </row>
    <row r="8" spans="2:5" x14ac:dyDescent="0.35">
      <c r="B8" t="s">
        <v>83</v>
      </c>
    </row>
    <row r="9" spans="2:5" x14ac:dyDescent="0.35">
      <c r="B9" t="s">
        <v>39</v>
      </c>
    </row>
    <row r="10" spans="2:5" x14ac:dyDescent="0.35">
      <c r="B10" t="s">
        <v>40</v>
      </c>
    </row>
    <row r="11" spans="2:5" x14ac:dyDescent="0.35">
      <c r="B11" t="s">
        <v>211</v>
      </c>
    </row>
    <row r="13" spans="2:5" x14ac:dyDescent="0.35">
      <c r="B13" t="s">
        <v>212</v>
      </c>
    </row>
    <row r="14" spans="2:5" x14ac:dyDescent="0.35">
      <c r="B14" t="s">
        <v>213</v>
      </c>
    </row>
    <row r="15" spans="2:5" x14ac:dyDescent="0.35">
      <c r="B15" t="s">
        <v>214</v>
      </c>
    </row>
    <row r="16" spans="2:5" x14ac:dyDescent="0.35">
      <c r="B16" t="s">
        <v>215</v>
      </c>
    </row>
    <row r="17" spans="2:2" x14ac:dyDescent="0.35">
      <c r="B17" t="s">
        <v>216</v>
      </c>
    </row>
    <row r="18" spans="2:2" x14ac:dyDescent="0.35">
      <c r="B18" t="s">
        <v>217</v>
      </c>
    </row>
    <row r="19" spans="2:2" x14ac:dyDescent="0.35">
      <c r="B19" t="s">
        <v>218</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yulieth pinto</cp:lastModifiedBy>
  <cp:lastPrinted>2020-05-13T01:12:22Z</cp:lastPrinted>
  <dcterms:created xsi:type="dcterms:W3CDTF">2020-03-24T23:12:47Z</dcterms:created>
  <dcterms:modified xsi:type="dcterms:W3CDTF">2022-10-13T16:56:56Z</dcterms:modified>
</cp:coreProperties>
</file>