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atricia\Downloads\"/>
    </mc:Choice>
  </mc:AlternateContent>
  <bookViews>
    <workbookView xWindow="0" yWindow="0" windowWidth="23016" windowHeight="9168"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Procesos" sheetId="21" r:id="rId8"/>
    <sheet name="Opciones Tratamiento" sheetId="16" r:id="rId9"/>
    <sheet name="Hoja1" sheetId="11" state="hidden" r:id="rId10"/>
  </sheets>
  <calcPr calcId="162913"/>
  <pivotCaches>
    <pivotCache cacheId="0" r:id="rId11"/>
    <pivotCache cacheId="1"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4" i="1" l="1"/>
  <c r="S11" i="1" l="1"/>
  <c r="S12" i="1"/>
  <c r="J11" i="1"/>
  <c r="G26" i="21"/>
  <c r="V11" i="1" l="1"/>
  <c r="K11" i="1"/>
  <c r="M18" i="1"/>
  <c r="M28" i="1"/>
  <c r="M51" i="1"/>
  <c r="M33" i="1"/>
  <c r="M69" i="1"/>
  <c r="M36" i="1"/>
  <c r="M54" i="1"/>
  <c r="M34" i="1"/>
  <c r="M68" i="1"/>
  <c r="M30" i="1"/>
  <c r="M50" i="1"/>
  <c r="M63" i="1"/>
  <c r="M61" i="1"/>
  <c r="M48" i="1"/>
  <c r="M42" i="1"/>
  <c r="M43" i="1"/>
  <c r="M26" i="1"/>
  <c r="M31" i="1"/>
  <c r="M20" i="1"/>
  <c r="M32" i="1"/>
  <c r="M25" i="1"/>
  <c r="M45" i="1"/>
  <c r="M60" i="1"/>
  <c r="M55" i="1"/>
  <c r="M57" i="1"/>
  <c r="M22" i="1"/>
  <c r="M21" i="1"/>
  <c r="M52" i="1"/>
  <c r="M40" i="1"/>
  <c r="M37" i="1"/>
  <c r="M62" i="1"/>
  <c r="M39" i="1"/>
  <c r="M56" i="1"/>
  <c r="M58" i="1"/>
  <c r="M70" i="1"/>
  <c r="M49" i="1"/>
  <c r="M66" i="1"/>
  <c r="M19" i="1"/>
  <c r="M24" i="1"/>
  <c r="M46" i="1"/>
  <c r="M67" i="1"/>
  <c r="M27" i="1"/>
  <c r="M64" i="1"/>
  <c r="M38" i="1"/>
  <c r="M44" i="1"/>
  <c r="F221" i="13" l="1"/>
  <c r="F211" i="13"/>
  <c r="F212" i="13"/>
  <c r="F213" i="13"/>
  <c r="F214" i="13"/>
  <c r="F215" i="13"/>
  <c r="F216" i="13"/>
  <c r="F217" i="13"/>
  <c r="F218" i="13"/>
  <c r="F219" i="13"/>
  <c r="F220" i="13"/>
  <c r="F210" i="13"/>
  <c r="M14" i="1"/>
  <c r="M16" i="1"/>
  <c r="M15" i="1"/>
  <c r="M12" i="1"/>
  <c r="B221" i="13" a="1"/>
  <c r="M13" i="1"/>
  <c r="B221" i="13" l="1"/>
  <c r="S53" i="1"/>
  <c r="S48" i="1"/>
  <c r="S42"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70" i="1" l="1"/>
  <c r="S70" i="1"/>
  <c r="V69" i="1"/>
  <c r="S69" i="1"/>
  <c r="V68" i="1"/>
  <c r="S68" i="1"/>
  <c r="V67" i="1"/>
  <c r="S67" i="1"/>
  <c r="V66" i="1"/>
  <c r="S66" i="1"/>
  <c r="V65" i="1"/>
  <c r="S65" i="1"/>
  <c r="J65" i="1"/>
  <c r="K65" i="1" s="1"/>
  <c r="V64" i="1"/>
  <c r="S64" i="1"/>
  <c r="V63" i="1"/>
  <c r="S63" i="1"/>
  <c r="V62" i="1"/>
  <c r="S62" i="1"/>
  <c r="V61" i="1"/>
  <c r="S61" i="1"/>
  <c r="V60" i="1"/>
  <c r="S60" i="1"/>
  <c r="V59" i="1"/>
  <c r="S59" i="1"/>
  <c r="J59" i="1"/>
  <c r="K59" i="1" s="1"/>
  <c r="V58" i="1"/>
  <c r="S58" i="1"/>
  <c r="V57" i="1"/>
  <c r="S57" i="1"/>
  <c r="V56" i="1"/>
  <c r="S56" i="1"/>
  <c r="V55" i="1"/>
  <c r="S55" i="1"/>
  <c r="V54" i="1"/>
  <c r="S54" i="1"/>
  <c r="AD54" i="1" s="1"/>
  <c r="V53" i="1"/>
  <c r="J53" i="1"/>
  <c r="K53" i="1" s="1"/>
  <c r="V52" i="1"/>
  <c r="S52" i="1"/>
  <c r="V51" i="1"/>
  <c r="S51" i="1"/>
  <c r="V50" i="1"/>
  <c r="S50" i="1"/>
  <c r="V49" i="1"/>
  <c r="S49" i="1"/>
  <c r="V48" i="1"/>
  <c r="V47" i="1"/>
  <c r="S47" i="1"/>
  <c r="AD48" i="1" s="1"/>
  <c r="J47" i="1"/>
  <c r="K47" i="1" s="1"/>
  <c r="V46" i="1"/>
  <c r="S46" i="1"/>
  <c r="V45" i="1"/>
  <c r="S45" i="1"/>
  <c r="V44" i="1"/>
  <c r="S44" i="1"/>
  <c r="V43" i="1"/>
  <c r="S43" i="1"/>
  <c r="V42" i="1"/>
  <c r="V41" i="1"/>
  <c r="S41" i="1"/>
  <c r="AD42" i="1" s="1"/>
  <c r="J41" i="1"/>
  <c r="K41" i="1" s="1"/>
  <c r="V40" i="1"/>
  <c r="S40" i="1"/>
  <c r="V39" i="1"/>
  <c r="S39" i="1"/>
  <c r="V38" i="1"/>
  <c r="S38" i="1"/>
  <c r="V37" i="1"/>
  <c r="S37" i="1"/>
  <c r="V36" i="1"/>
  <c r="S36" i="1"/>
  <c r="V35" i="1"/>
  <c r="S35" i="1"/>
  <c r="J35" i="1"/>
  <c r="K35" i="1" s="1"/>
  <c r="V34" i="1"/>
  <c r="S34" i="1"/>
  <c r="V33" i="1"/>
  <c r="S33" i="1"/>
  <c r="V32" i="1"/>
  <c r="S32" i="1"/>
  <c r="V31" i="1"/>
  <c r="S31" i="1"/>
  <c r="V30" i="1"/>
  <c r="S30" i="1"/>
  <c r="V29" i="1"/>
  <c r="S29" i="1"/>
  <c r="J29" i="1"/>
  <c r="K29" i="1" s="1"/>
  <c r="V28" i="1"/>
  <c r="S28" i="1"/>
  <c r="V27" i="1"/>
  <c r="S27" i="1"/>
  <c r="V26" i="1"/>
  <c r="S26" i="1"/>
  <c r="V25" i="1"/>
  <c r="S24" i="1"/>
  <c r="Z24" i="1" s="1"/>
  <c r="V23" i="1"/>
  <c r="S23" i="1"/>
  <c r="J23" i="1"/>
  <c r="K23" i="1" s="1"/>
  <c r="J17" i="1"/>
  <c r="S16" i="1"/>
  <c r="S15" i="1"/>
  <c r="S14" i="1"/>
  <c r="V22" i="1"/>
  <c r="S22" i="1"/>
  <c r="V21" i="1"/>
  <c r="S21" i="1"/>
  <c r="V20" i="1"/>
  <c r="S20" i="1"/>
  <c r="V19" i="1"/>
  <c r="S19" i="1"/>
  <c r="V18" i="1"/>
  <c r="S18" i="1"/>
  <c r="V17" i="1"/>
  <c r="S17" i="1"/>
  <c r="AD30" i="1" l="1"/>
  <c r="AD66" i="1"/>
  <c r="AD36" i="1"/>
  <c r="AD60" i="1"/>
  <c r="AD51" i="1"/>
  <c r="AC51" i="1" s="1"/>
  <c r="AD52" i="1"/>
  <c r="AC52" i="1" s="1"/>
  <c r="K17" i="1"/>
  <c r="Z65" i="1"/>
  <c r="Z59" i="1"/>
  <c r="Z53" i="1"/>
  <c r="Z47" i="1"/>
  <c r="Z51" i="1"/>
  <c r="Z52" i="1"/>
  <c r="Z41" i="1"/>
  <c r="Z35" i="1"/>
  <c r="Z29" i="1"/>
  <c r="Z23" i="1"/>
  <c r="Z17" i="1"/>
  <c r="AA65" i="1" l="1"/>
  <c r="AB65" i="1"/>
  <c r="Z66" i="1" s="1"/>
  <c r="AA66" i="1" s="1"/>
  <c r="AA59" i="1"/>
  <c r="AB59" i="1"/>
  <c r="Z60" i="1" s="1"/>
  <c r="AB60" i="1" s="1"/>
  <c r="Z61" i="1" s="1"/>
  <c r="AA53" i="1"/>
  <c r="AB53" i="1"/>
  <c r="Z54" i="1" s="1"/>
  <c r="AB54" i="1" s="1"/>
  <c r="Z55" i="1" s="1"/>
  <c r="AA52" i="1"/>
  <c r="AB52" i="1"/>
  <c r="AA51" i="1"/>
  <c r="AB51" i="1"/>
  <c r="AA47" i="1"/>
  <c r="AB47" i="1"/>
  <c r="AA41" i="1"/>
  <c r="AB41" i="1"/>
  <c r="Z42" i="1" s="1"/>
  <c r="AB42" i="1" s="1"/>
  <c r="Z43" i="1" s="1"/>
  <c r="AA35" i="1"/>
  <c r="AB35" i="1"/>
  <c r="AA29" i="1"/>
  <c r="AB29" i="1"/>
  <c r="Z30" i="1" s="1"/>
  <c r="AB30" i="1" s="1"/>
  <c r="Z31" i="1" s="1"/>
  <c r="AA31" i="1" s="1"/>
  <c r="AA23" i="1"/>
  <c r="AB23" i="1"/>
  <c r="AA24" i="1" s="1"/>
  <c r="AA17" i="1"/>
  <c r="AB17" i="1"/>
  <c r="Z18" i="1" s="1"/>
  <c r="AA60" i="1" l="1"/>
  <c r="AA54" i="1"/>
  <c r="AB24" i="1"/>
  <c r="Z25" i="1" s="1"/>
  <c r="AA25" i="1" s="1"/>
  <c r="AA42" i="1"/>
  <c r="AA30" i="1"/>
  <c r="AA43" i="1"/>
  <c r="AB43" i="1"/>
  <c r="AB61" i="1"/>
  <c r="Z62" i="1" s="1"/>
  <c r="AA61" i="1"/>
  <c r="AB55" i="1"/>
  <c r="Z56" i="1" s="1"/>
  <c r="AA55" i="1"/>
  <c r="AB66" i="1"/>
  <c r="Z67" i="1" s="1"/>
  <c r="Z36" i="1"/>
  <c r="Z48" i="1"/>
  <c r="Z49" i="1"/>
  <c r="AB31"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E51" i="1"/>
  <c r="AE52" i="1"/>
  <c r="V12" i="1"/>
  <c r="V13" i="1"/>
  <c r="V14" i="1"/>
  <c r="V15" i="1"/>
  <c r="V16" i="1"/>
  <c r="AA62" i="1" l="1"/>
  <c r="AB62" i="1"/>
  <c r="AA56" i="1"/>
  <c r="AB56" i="1"/>
  <c r="Z57" i="1" s="1"/>
  <c r="AB25" i="1"/>
  <c r="Z26" i="1" s="1"/>
  <c r="AB26" i="1" s="1"/>
  <c r="AA49" i="1"/>
  <c r="AB49" i="1"/>
  <c r="Z50" i="1" s="1"/>
  <c r="AA67" i="1"/>
  <c r="AB67" i="1"/>
  <c r="Z68" i="1" s="1"/>
  <c r="AA48" i="1"/>
  <c r="AB48" i="1"/>
  <c r="Z44" i="1"/>
  <c r="AA36" i="1"/>
  <c r="AB36" i="1"/>
  <c r="Z37" i="1" s="1"/>
  <c r="AA37" i="1" s="1"/>
  <c r="Z33" i="1"/>
  <c r="AA33" i="1" s="1"/>
  <c r="Z32" i="1"/>
  <c r="AA18" i="1"/>
  <c r="AB18" i="1"/>
  <c r="Z19" i="1" s="1"/>
  <c r="AA19" i="1" s="1"/>
  <c r="AB37" i="1" l="1"/>
  <c r="Z38" i="1" s="1"/>
  <c r="AB38" i="1" s="1"/>
  <c r="Z39" i="1" s="1"/>
  <c r="AA57" i="1"/>
  <c r="AB57" i="1"/>
  <c r="Z58" i="1" s="1"/>
  <c r="Z63" i="1"/>
  <c r="Z64" i="1"/>
  <c r="AA26" i="1"/>
  <c r="AA44" i="1"/>
  <c r="AB44" i="1"/>
  <c r="Z45" i="1" s="1"/>
  <c r="AA45" i="1" s="1"/>
  <c r="AA50" i="1"/>
  <c r="AB50" i="1"/>
  <c r="Z27" i="1"/>
  <c r="AB68" i="1"/>
  <c r="AA68" i="1"/>
  <c r="AA32" i="1"/>
  <c r="AB32" i="1"/>
  <c r="AB33" i="1"/>
  <c r="Z34" i="1" s="1"/>
  <c r="AB19" i="1"/>
  <c r="Z20" i="1" s="1"/>
  <c r="AA20" i="1" s="1"/>
  <c r="S13" i="1"/>
  <c r="AA38" i="1" l="1"/>
  <c r="AA64" i="1"/>
  <c r="AB64" i="1"/>
  <c r="AA63" i="1"/>
  <c r="AB63" i="1"/>
  <c r="AA58" i="1"/>
  <c r="AB58" i="1"/>
  <c r="Z69" i="1"/>
  <c r="Z70" i="1"/>
  <c r="AB45" i="1"/>
  <c r="Z46" i="1" s="1"/>
  <c r="AA46" i="1" s="1"/>
  <c r="AB39" i="1"/>
  <c r="Z40" i="1" s="1"/>
  <c r="AA39" i="1"/>
  <c r="AA27" i="1"/>
  <c r="AB27" i="1"/>
  <c r="Z28" i="1" s="1"/>
  <c r="AA28" i="1" s="1"/>
  <c r="AA34" i="1"/>
  <c r="AB34" i="1"/>
  <c r="AB20" i="1"/>
  <c r="Z21" i="1" s="1"/>
  <c r="AB21" i="1" s="1"/>
  <c r="Z22" i="1" s="1"/>
  <c r="Z11" i="1"/>
  <c r="AA11" i="1" s="1"/>
  <c r="AA70" i="1" l="1"/>
  <c r="AB70" i="1"/>
  <c r="AA69" i="1"/>
  <c r="AB69" i="1"/>
  <c r="AA40" i="1"/>
  <c r="AB40" i="1"/>
  <c r="AB46" i="1"/>
  <c r="AB28" i="1"/>
  <c r="AA21" i="1"/>
  <c r="AA22" i="1"/>
  <c r="AB22" i="1"/>
  <c r="AB11" i="1" l="1"/>
  <c r="Z12" i="1" s="1"/>
  <c r="AA12" i="1" l="1"/>
  <c r="AB12" i="1" l="1"/>
  <c r="Z13" i="1" s="1"/>
  <c r="AA13" i="1" s="1"/>
  <c r="AB13" i="1" l="1"/>
  <c r="Z14" i="1" s="1"/>
  <c r="AB14" i="1" l="1"/>
  <c r="Z15" i="1" s="1"/>
  <c r="AA15" i="1" l="1"/>
  <c r="AB15" i="1"/>
  <c r="Z16" i="1" s="1"/>
  <c r="AA14" i="1"/>
  <c r="AA16" i="1" l="1"/>
  <c r="AB16" i="1"/>
  <c r="AD29" i="1" l="1"/>
  <c r="AC29" i="1" s="1"/>
  <c r="AD67" i="1"/>
  <c r="AD59" i="1"/>
  <c r="AD41" i="1"/>
  <c r="AC41" i="1" s="1"/>
  <c r="AD53" i="1"/>
  <c r="AC53" i="1" s="1"/>
  <c r="AD17" i="1"/>
  <c r="AD47" i="1"/>
  <c r="AC47" i="1" s="1"/>
  <c r="AD35" i="1"/>
  <c r="AC35" i="1" s="1"/>
  <c r="AC17" i="1" l="1"/>
  <c r="AD18" i="1"/>
  <c r="AC18" i="1" s="1"/>
  <c r="J40" i="19"/>
  <c r="V30" i="19"/>
  <c r="AH20" i="19"/>
  <c r="J30" i="19"/>
  <c r="V20" i="19"/>
  <c r="AH10" i="19"/>
  <c r="P10" i="19"/>
  <c r="AB50" i="19"/>
  <c r="J50" i="19"/>
  <c r="AB40" i="19"/>
  <c r="P30" i="19"/>
  <c r="V50" i="19"/>
  <c r="P50" i="19"/>
  <c r="AB10" i="19"/>
  <c r="AH30" i="19"/>
  <c r="AH40" i="19"/>
  <c r="J10" i="19"/>
  <c r="AB20" i="19"/>
  <c r="AH50" i="19"/>
  <c r="AE35" i="1"/>
  <c r="V10" i="19"/>
  <c r="P20" i="19"/>
  <c r="J20" i="19"/>
  <c r="P40" i="19"/>
  <c r="V40" i="19"/>
  <c r="AB30" i="19"/>
  <c r="J11" i="19"/>
  <c r="V11" i="19"/>
  <c r="AB21" i="19"/>
  <c r="P31" i="19"/>
  <c r="J31" i="19"/>
  <c r="AB41" i="19"/>
  <c r="AE41" i="1"/>
  <c r="AH41" i="19"/>
  <c r="P41" i="19"/>
  <c r="J21" i="19"/>
  <c r="AB31" i="19"/>
  <c r="AB51" i="19"/>
  <c r="P21" i="19"/>
  <c r="V41" i="19"/>
  <c r="V31" i="19"/>
  <c r="AH21" i="19"/>
  <c r="AB11" i="19"/>
  <c r="P51" i="19"/>
  <c r="V21" i="19"/>
  <c r="AH31" i="19"/>
  <c r="V51" i="19"/>
  <c r="J51" i="19"/>
  <c r="AH51" i="19"/>
  <c r="AH11" i="19"/>
  <c r="J41" i="19"/>
  <c r="P11" i="19"/>
  <c r="J47" i="19"/>
  <c r="V27" i="19"/>
  <c r="AH7" i="19"/>
  <c r="P47" i="19"/>
  <c r="AB27" i="19"/>
  <c r="J17" i="19"/>
  <c r="V47" i="19"/>
  <c r="J37" i="19"/>
  <c r="AE17" i="1"/>
  <c r="AB37" i="19"/>
  <c r="J27" i="19"/>
  <c r="V7" i="19"/>
  <c r="AH37" i="19"/>
  <c r="P27" i="19"/>
  <c r="AB7" i="19"/>
  <c r="P17" i="19"/>
  <c r="V17" i="19"/>
  <c r="AH47" i="19"/>
  <c r="P37" i="19"/>
  <c r="AB17" i="19"/>
  <c r="J7" i="19"/>
  <c r="V37" i="19"/>
  <c r="AH17" i="19"/>
  <c r="P7" i="19"/>
  <c r="AH27" i="19"/>
  <c r="AB47" i="19"/>
  <c r="AE53"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9" i="1"/>
  <c r="AC66" i="1"/>
  <c r="AE29"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D13" i="1"/>
  <c r="AC67" i="1"/>
  <c r="AD68" i="1"/>
  <c r="AD37" i="1"/>
  <c r="AC36" i="1"/>
  <c r="AC42" i="1"/>
  <c r="AD43" i="1"/>
  <c r="AC43" i="1" s="1"/>
  <c r="AD44" i="1"/>
  <c r="V32" i="19"/>
  <c r="P42" i="19"/>
  <c r="J12" i="19"/>
  <c r="J32" i="19"/>
  <c r="AB52" i="19"/>
  <c r="AE47" i="1"/>
  <c r="J22" i="19"/>
  <c r="V22" i="19"/>
  <c r="J52" i="19"/>
  <c r="AH12" i="19"/>
  <c r="J42" i="19"/>
  <c r="AH42" i="19"/>
  <c r="P32" i="19"/>
  <c r="AB12" i="19"/>
  <c r="AH32" i="19"/>
  <c r="AB32" i="19"/>
  <c r="AB42" i="19"/>
  <c r="V42" i="19"/>
  <c r="V12" i="19"/>
  <c r="V52" i="19"/>
  <c r="AB22" i="19"/>
  <c r="AH52" i="19"/>
  <c r="AH22" i="19"/>
  <c r="P22" i="19"/>
  <c r="P12" i="19"/>
  <c r="P52" i="19"/>
  <c r="AD49" i="1"/>
  <c r="AC49" i="1" s="1"/>
  <c r="AD50" i="1"/>
  <c r="AC50" i="1" s="1"/>
  <c r="AC48" i="1"/>
  <c r="AD19" i="1"/>
  <c r="AC54" i="1"/>
  <c r="AD55" i="1"/>
  <c r="AC60" i="1"/>
  <c r="AD61" i="1"/>
  <c r="AC30" i="1"/>
  <c r="AD31" i="1"/>
  <c r="W37" i="19" l="1"/>
  <c r="AI7" i="19"/>
  <c r="W17" i="19"/>
  <c r="W27" i="19"/>
  <c r="Q47" i="19"/>
  <c r="W7" i="19"/>
  <c r="AI17" i="19"/>
  <c r="K47" i="19"/>
  <c r="AI47" i="19"/>
  <c r="Q27" i="19"/>
  <c r="AC27" i="19"/>
  <c r="AC47" i="19"/>
  <c r="AC37" i="19"/>
  <c r="AI37" i="19"/>
  <c r="AE18" i="1"/>
  <c r="AC17" i="19"/>
  <c r="K37" i="19"/>
  <c r="AC7" i="19"/>
  <c r="W47" i="19"/>
  <c r="Q37" i="19"/>
  <c r="AI27" i="19"/>
  <c r="Q7" i="19"/>
  <c r="K27" i="19"/>
  <c r="K17" i="19"/>
  <c r="K7" i="19"/>
  <c r="Q17" i="19"/>
  <c r="AC68" i="1"/>
  <c r="AD69" i="1"/>
  <c r="K35" i="19"/>
  <c r="AC25" i="19"/>
  <c r="K45" i="19"/>
  <c r="AI45" i="19"/>
  <c r="W45" i="19"/>
  <c r="Q35" i="19"/>
  <c r="K55" i="19"/>
  <c r="AC15" i="19"/>
  <c r="Q15" i="19"/>
  <c r="AC35" i="19"/>
  <c r="AI35" i="19"/>
  <c r="Q55" i="19"/>
  <c r="AI25" i="19"/>
  <c r="AE66"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60"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E42" i="1"/>
  <c r="AD55" i="19"/>
  <c r="R15" i="19"/>
  <c r="AJ35" i="19"/>
  <c r="AE67"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9"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E49" i="1"/>
  <c r="AD12" i="19"/>
  <c r="AD32" i="19"/>
  <c r="AD22" i="19"/>
  <c r="X52" i="19"/>
  <c r="AD52" i="19"/>
  <c r="L42" i="19"/>
  <c r="R42" i="19"/>
  <c r="AJ21" i="19"/>
  <c r="AD31" i="19"/>
  <c r="R21" i="19"/>
  <c r="AD41" i="19"/>
  <c r="AJ11" i="19"/>
  <c r="AJ51" i="19"/>
  <c r="AE43" i="1"/>
  <c r="L41" i="19"/>
  <c r="AD11" i="19"/>
  <c r="L21" i="19"/>
  <c r="L11" i="19"/>
  <c r="X51" i="19"/>
  <c r="X21" i="19"/>
  <c r="R11" i="19"/>
  <c r="R31" i="19"/>
  <c r="AJ41" i="19"/>
  <c r="L31" i="19"/>
  <c r="R51" i="19"/>
  <c r="X31" i="19"/>
  <c r="X11" i="19"/>
  <c r="X41" i="19"/>
  <c r="AJ31" i="19"/>
  <c r="AD51" i="19"/>
  <c r="R41" i="19"/>
  <c r="AD21" i="19"/>
  <c r="L51" i="19"/>
  <c r="AD20" i="1"/>
  <c r="AC19" i="1"/>
  <c r="AC31" i="1"/>
  <c r="AD32" i="1"/>
  <c r="AC55" i="1"/>
  <c r="AD56" i="1"/>
  <c r="K42" i="19"/>
  <c r="AC32" i="19"/>
  <c r="W42" i="19"/>
  <c r="AI52" i="19"/>
  <c r="K22" i="19"/>
  <c r="Q32" i="19"/>
  <c r="AI12" i="19"/>
  <c r="AC52" i="19"/>
  <c r="Q42" i="19"/>
  <c r="AC42" i="19"/>
  <c r="K12" i="19"/>
  <c r="Q22" i="19"/>
  <c r="W52" i="19"/>
  <c r="AI42" i="19"/>
  <c r="W32" i="19"/>
  <c r="AI22" i="19"/>
  <c r="W12" i="19"/>
  <c r="AI32" i="19"/>
  <c r="AC12" i="19"/>
  <c r="Q12" i="19"/>
  <c r="Q52" i="19"/>
  <c r="AE48" i="1"/>
  <c r="K32" i="19"/>
  <c r="W22" i="19"/>
  <c r="K52" i="19"/>
  <c r="AC22" i="19"/>
  <c r="AC40" i="19"/>
  <c r="W10" i="19"/>
  <c r="AC50" i="19"/>
  <c r="Q10" i="19"/>
  <c r="Q30" i="19"/>
  <c r="W50" i="19"/>
  <c r="K40" i="19"/>
  <c r="Q50" i="19"/>
  <c r="W20" i="19"/>
  <c r="AE36" i="1"/>
  <c r="K10" i="19"/>
  <c r="Q40" i="19"/>
  <c r="K30" i="19"/>
  <c r="AI50" i="19"/>
  <c r="AI20" i="19"/>
  <c r="K50" i="19"/>
  <c r="AI40" i="19"/>
  <c r="W40" i="19"/>
  <c r="K20" i="19"/>
  <c r="AC10" i="19"/>
  <c r="AI10" i="19"/>
  <c r="AC20" i="19"/>
  <c r="AI30" i="19"/>
  <c r="AC30" i="19"/>
  <c r="W30" i="19"/>
  <c r="Q20" i="19"/>
  <c r="AD26" i="1"/>
  <c r="AC61" i="1"/>
  <c r="AD62" i="1"/>
  <c r="K39" i="19"/>
  <c r="AC39" i="19"/>
  <c r="W29" i="19"/>
  <c r="AI49" i="19"/>
  <c r="W9" i="19"/>
  <c r="AC19" i="19"/>
  <c r="Q49" i="19"/>
  <c r="W49" i="19"/>
  <c r="AC9" i="19"/>
  <c r="AI9" i="19"/>
  <c r="Q29" i="19"/>
  <c r="W39" i="19"/>
  <c r="Q39" i="19"/>
  <c r="AE30"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4" i="1"/>
  <c r="Q33" i="19"/>
  <c r="AI23" i="19"/>
  <c r="K53" i="19"/>
  <c r="AC23" i="19"/>
  <c r="AC13" i="19"/>
  <c r="W23" i="19"/>
  <c r="W33" i="19"/>
  <c r="Q13" i="19"/>
  <c r="W13" i="19"/>
  <c r="AI13" i="19"/>
  <c r="Q43" i="19"/>
  <c r="Q23" i="19"/>
  <c r="W53" i="19"/>
  <c r="M12" i="19"/>
  <c r="AK42" i="19"/>
  <c r="AE32" i="19"/>
  <c r="AE50" i="1"/>
  <c r="M52" i="19"/>
  <c r="S12" i="19"/>
  <c r="M32" i="19"/>
  <c r="S52" i="19"/>
  <c r="Y52" i="19"/>
  <c r="Y42" i="19"/>
  <c r="AK12" i="19"/>
  <c r="S22" i="19"/>
  <c r="AE12" i="19"/>
  <c r="Y22" i="19"/>
  <c r="S32" i="19"/>
  <c r="AK52" i="19"/>
  <c r="M22" i="19"/>
  <c r="AK32" i="19"/>
  <c r="AE22" i="19"/>
  <c r="AE42" i="19"/>
  <c r="Y32" i="19"/>
  <c r="M42" i="19"/>
  <c r="Y12" i="19"/>
  <c r="AE52" i="19"/>
  <c r="AK22" i="19"/>
  <c r="S42" i="19"/>
  <c r="AC44" i="1"/>
  <c r="AD46" i="1"/>
  <c r="AC46" i="1" s="1"/>
  <c r="AD45" i="1"/>
  <c r="AC45" i="1" s="1"/>
  <c r="AC37" i="1"/>
  <c r="AD38" i="1"/>
  <c r="AD14" i="1"/>
  <c r="AC14" i="1" s="1"/>
  <c r="AC13" i="1"/>
  <c r="AD15" i="1"/>
  <c r="AC15" i="1" l="1"/>
  <c r="AD16" i="1"/>
  <c r="AC16" i="1" s="1"/>
  <c r="R40" i="19"/>
  <c r="AD10" i="19"/>
  <c r="X40" i="19"/>
  <c r="AJ10" i="19"/>
  <c r="R50" i="19"/>
  <c r="X10" i="19"/>
  <c r="R30" i="19"/>
  <c r="AE37" i="1"/>
  <c r="L10" i="19"/>
  <c r="L50" i="19"/>
  <c r="AJ20" i="19"/>
  <c r="AJ40" i="19"/>
  <c r="AD30" i="19"/>
  <c r="R20" i="19"/>
  <c r="AD50" i="19"/>
  <c r="AJ30" i="19"/>
  <c r="AJ50" i="19"/>
  <c r="X30" i="19"/>
  <c r="AD20" i="19"/>
  <c r="L40" i="19"/>
  <c r="X50" i="19"/>
  <c r="X20" i="19"/>
  <c r="AD40" i="19"/>
  <c r="R10" i="19"/>
  <c r="L30" i="19"/>
  <c r="L20" i="19"/>
  <c r="AC56" i="1"/>
  <c r="AD57" i="1"/>
  <c r="AC69" i="1"/>
  <c r="AD70" i="1"/>
  <c r="AC70" i="1" s="1"/>
  <c r="AD47" i="19"/>
  <c r="AJ27" i="19"/>
  <c r="AD27" i="19"/>
  <c r="AJ7" i="19"/>
  <c r="AJ37" i="19"/>
  <c r="L27" i="19"/>
  <c r="AD17" i="19"/>
  <c r="L37" i="19"/>
  <c r="R17" i="19"/>
  <c r="AJ17" i="19"/>
  <c r="X7" i="19"/>
  <c r="X47" i="19"/>
  <c r="L7" i="19"/>
  <c r="L17" i="19"/>
  <c r="R27" i="19"/>
  <c r="X27" i="19"/>
  <c r="R7" i="19"/>
  <c r="X17" i="19"/>
  <c r="AJ47" i="19"/>
  <c r="L47" i="19"/>
  <c r="R37" i="19"/>
  <c r="AD7" i="19"/>
  <c r="X37" i="19"/>
  <c r="AE19" i="1"/>
  <c r="R47" i="19"/>
  <c r="AD37" i="19"/>
  <c r="AD27" i="1"/>
  <c r="AC27" i="1" s="1"/>
  <c r="AC26" i="1"/>
  <c r="AD28" i="1"/>
  <c r="AC28" i="1" s="1"/>
  <c r="AJ43" i="19"/>
  <c r="AD33" i="19"/>
  <c r="X33" i="19"/>
  <c r="X13" i="19"/>
  <c r="AD43" i="19"/>
  <c r="L43" i="19"/>
  <c r="AE55" i="1"/>
  <c r="X23" i="19"/>
  <c r="R33" i="19"/>
  <c r="R43" i="19"/>
  <c r="AD53" i="19"/>
  <c r="AJ13" i="19"/>
  <c r="R23" i="19"/>
  <c r="R13" i="19"/>
  <c r="AJ53" i="19"/>
  <c r="L33" i="19"/>
  <c r="L23" i="19"/>
  <c r="X43" i="19"/>
  <c r="X53" i="19"/>
  <c r="AD13" i="19"/>
  <c r="L53" i="19"/>
  <c r="L13" i="19"/>
  <c r="AD23" i="19"/>
  <c r="AJ33" i="19"/>
  <c r="AJ23" i="19"/>
  <c r="R53" i="19"/>
  <c r="AC20" i="1"/>
  <c r="AD21" i="1"/>
  <c r="M55" i="19"/>
  <c r="AK15" i="19"/>
  <c r="AE25" i="19"/>
  <c r="AE68" i="1"/>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E45"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E14" i="1"/>
  <c r="O11" i="19"/>
  <c r="O21" i="19"/>
  <c r="O51" i="19"/>
  <c r="AA31" i="19"/>
  <c r="AM31" i="19"/>
  <c r="AG51" i="19"/>
  <c r="AA41" i="19"/>
  <c r="AM11" i="19"/>
  <c r="U21" i="19"/>
  <c r="AG41" i="19"/>
  <c r="AM21" i="19"/>
  <c r="AM51" i="19"/>
  <c r="O41" i="19"/>
  <c r="U11" i="19"/>
  <c r="AG31" i="19"/>
  <c r="U41" i="19"/>
  <c r="AE46" i="1"/>
  <c r="AG11" i="19"/>
  <c r="AM41" i="19"/>
  <c r="AA21" i="19"/>
  <c r="AA51" i="19"/>
  <c r="U51" i="19"/>
  <c r="U31" i="19"/>
  <c r="AA11" i="19"/>
  <c r="AG21" i="19"/>
  <c r="O31" i="19"/>
  <c r="AC62" i="1"/>
  <c r="AD63" i="1"/>
  <c r="AC32" i="1"/>
  <c r="AD33" i="1"/>
  <c r="AC33" i="1" s="1"/>
  <c r="AD34" i="1"/>
  <c r="AC34" i="1" s="1"/>
  <c r="AJ46" i="19"/>
  <c r="AD46" i="19"/>
  <c r="L36" i="19"/>
  <c r="X16" i="19"/>
  <c r="AJ26" i="19"/>
  <c r="L46" i="19"/>
  <c r="X6" i="19"/>
  <c r="R36" i="19"/>
  <c r="X36" i="19"/>
  <c r="R6" i="19"/>
  <c r="AJ6" i="19"/>
  <c r="AD36" i="19"/>
  <c r="R46" i="19"/>
  <c r="AD26" i="19"/>
  <c r="L16" i="19"/>
  <c r="AD16" i="19"/>
  <c r="AE13" i="1"/>
  <c r="X46" i="19"/>
  <c r="X26" i="19"/>
  <c r="AJ36" i="19"/>
  <c r="R26" i="19"/>
  <c r="AD6" i="19"/>
  <c r="L6" i="19"/>
  <c r="L26" i="19"/>
  <c r="R16" i="19"/>
  <c r="AJ16" i="19"/>
  <c r="AC38" i="1"/>
  <c r="AD39" i="1"/>
  <c r="AE11" i="19"/>
  <c r="Y41" i="19"/>
  <c r="M41" i="19"/>
  <c r="Y21" i="19"/>
  <c r="AK41" i="19"/>
  <c r="S31" i="19"/>
  <c r="M31" i="19"/>
  <c r="M51" i="19"/>
  <c r="Y51" i="19"/>
  <c r="AK21" i="19"/>
  <c r="AK31" i="19"/>
  <c r="Y11" i="19"/>
  <c r="AE41" i="19"/>
  <c r="AE21" i="19"/>
  <c r="S51" i="19"/>
  <c r="AE51" i="19"/>
  <c r="AK51" i="19"/>
  <c r="M21" i="19"/>
  <c r="AE31" i="19"/>
  <c r="AE44" i="1"/>
  <c r="S41" i="19"/>
  <c r="AK11" i="19"/>
  <c r="S11" i="19"/>
  <c r="Y31" i="19"/>
  <c r="S21" i="19"/>
  <c r="M11" i="19"/>
  <c r="L54" i="19"/>
  <c r="AJ14" i="19"/>
  <c r="AD44" i="19"/>
  <c r="X54" i="19"/>
  <c r="R14" i="19"/>
  <c r="AD24" i="19"/>
  <c r="AD34" i="19"/>
  <c r="R54" i="19"/>
  <c r="L34" i="19"/>
  <c r="AJ34" i="19"/>
  <c r="X24" i="19"/>
  <c r="AJ24" i="19"/>
  <c r="X44" i="19"/>
  <c r="R24" i="19"/>
  <c r="AE61" i="1"/>
  <c r="X34" i="19"/>
  <c r="L14" i="19"/>
  <c r="AD14" i="19"/>
  <c r="L44" i="19"/>
  <c r="R44" i="19"/>
  <c r="AD54" i="19"/>
  <c r="X14" i="19"/>
  <c r="AJ44" i="19"/>
  <c r="R34" i="19"/>
  <c r="AJ54" i="19"/>
  <c r="L24" i="19"/>
  <c r="AD29" i="19"/>
  <c r="AD19" i="19"/>
  <c r="R39" i="19"/>
  <c r="R9" i="19"/>
  <c r="X49" i="19"/>
  <c r="X9" i="19"/>
  <c r="AD39" i="19"/>
  <c r="R29" i="19"/>
  <c r="L49" i="19"/>
  <c r="X19" i="19"/>
  <c r="X29" i="19"/>
  <c r="X39" i="19"/>
  <c r="L9" i="19"/>
  <c r="AE31" i="1"/>
  <c r="AD9" i="19"/>
  <c r="AJ49" i="19"/>
  <c r="L39" i="19"/>
  <c r="R19" i="19"/>
  <c r="AJ39" i="19"/>
  <c r="AJ29" i="19"/>
  <c r="AJ19" i="19"/>
  <c r="AJ9" i="19"/>
  <c r="AD49" i="19"/>
  <c r="L19" i="19"/>
  <c r="L29" i="19"/>
  <c r="R49" i="19"/>
  <c r="AC39" i="1" l="1"/>
  <c r="AD40" i="1"/>
  <c r="AC40" i="1" s="1"/>
  <c r="AG39" i="19"/>
  <c r="AG29" i="19"/>
  <c r="AM19" i="19"/>
  <c r="O39" i="19"/>
  <c r="AE34"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62" i="1"/>
  <c r="AE24" i="19"/>
  <c r="S14" i="19"/>
  <c r="AK17" i="19"/>
  <c r="S27" i="19"/>
  <c r="S37" i="19"/>
  <c r="AE27" i="19"/>
  <c r="Y47" i="19"/>
  <c r="S7" i="19"/>
  <c r="M17" i="19"/>
  <c r="AE17" i="19"/>
  <c r="AK27" i="19"/>
  <c r="Y7" i="19"/>
  <c r="Y37" i="19"/>
  <c r="AE37" i="19"/>
  <c r="Y27" i="19"/>
  <c r="M47" i="19"/>
  <c r="AE20"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6" i="1"/>
  <c r="AE28" i="19"/>
  <c r="AA55" i="19"/>
  <c r="O45" i="19"/>
  <c r="AA15" i="19"/>
  <c r="AM55" i="19"/>
  <c r="O55" i="19"/>
  <c r="AG35" i="19"/>
  <c r="AM25" i="19"/>
  <c r="AM35" i="19"/>
  <c r="AA25" i="19"/>
  <c r="AM45" i="19"/>
  <c r="AG25" i="19"/>
  <c r="AA35" i="19"/>
  <c r="O25" i="19"/>
  <c r="U25" i="19"/>
  <c r="AG45" i="19"/>
  <c r="U35" i="19"/>
  <c r="AA45" i="19"/>
  <c r="AM15" i="19"/>
  <c r="U45" i="19"/>
  <c r="O35" i="19"/>
  <c r="O15" i="19"/>
  <c r="AE70" i="1"/>
  <c r="AG15" i="19"/>
  <c r="U15" i="19"/>
  <c r="AG55" i="19"/>
  <c r="U55" i="19"/>
  <c r="AE40" i="19"/>
  <c r="Y30" i="19"/>
  <c r="M20" i="19"/>
  <c r="AE38"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E33" i="1"/>
  <c r="T19" i="19"/>
  <c r="AL49" i="19"/>
  <c r="T29" i="19"/>
  <c r="AF29" i="19"/>
  <c r="T18" i="19"/>
  <c r="N48" i="19"/>
  <c r="N8" i="19"/>
  <c r="T28" i="19"/>
  <c r="AF38" i="19"/>
  <c r="Z28" i="19"/>
  <c r="Z18" i="19"/>
  <c r="AF8" i="19"/>
  <c r="AE27"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9"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E32" i="1"/>
  <c r="M9" i="19"/>
  <c r="Y29" i="19"/>
  <c r="AC57" i="1"/>
  <c r="AD58" i="1"/>
  <c r="AC58" i="1" s="1"/>
  <c r="AM46" i="19"/>
  <c r="U36" i="19"/>
  <c r="AG16" i="19"/>
  <c r="O6" i="19"/>
  <c r="AA36" i="19"/>
  <c r="AM16" i="19"/>
  <c r="U6" i="19"/>
  <c r="AG46" i="19"/>
  <c r="AA16" i="19"/>
  <c r="AE16" i="1"/>
  <c r="AA6" i="19"/>
  <c r="AG6" i="19"/>
  <c r="AA46" i="19"/>
  <c r="AM26" i="19"/>
  <c r="U16" i="19"/>
  <c r="O36" i="19"/>
  <c r="U26" i="19"/>
  <c r="O46" i="19"/>
  <c r="AA26" i="19"/>
  <c r="AM6" i="19"/>
  <c r="U46" i="19"/>
  <c r="AG26" i="19"/>
  <c r="O16" i="19"/>
  <c r="AG36" i="19"/>
  <c r="O26" i="19"/>
  <c r="AM36" i="19"/>
  <c r="AC63" i="1"/>
  <c r="AD64" i="1"/>
  <c r="AC64" i="1" s="1"/>
  <c r="AD22" i="1"/>
  <c r="AC22" i="1" s="1"/>
  <c r="AC21" i="1"/>
  <c r="O8" i="19"/>
  <c r="AA48" i="19"/>
  <c r="AM38" i="19"/>
  <c r="U48" i="19"/>
  <c r="AA18" i="19"/>
  <c r="AG18" i="19"/>
  <c r="AG48" i="19"/>
  <c r="AM18" i="19"/>
  <c r="AA28" i="19"/>
  <c r="AG28" i="19"/>
  <c r="AA8" i="19"/>
  <c r="U18" i="19"/>
  <c r="AG38" i="19"/>
  <c r="U38" i="19"/>
  <c r="AM8" i="19"/>
  <c r="AA38" i="19"/>
  <c r="AM48" i="19"/>
  <c r="U28" i="19"/>
  <c r="O38" i="19"/>
  <c r="U8" i="19"/>
  <c r="AG8" i="19"/>
  <c r="AE28"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6" i="1"/>
  <c r="M33" i="19"/>
  <c r="AF6" i="19"/>
  <c r="N46" i="19"/>
  <c r="Z26" i="19"/>
  <c r="AL6" i="19"/>
  <c r="AL36" i="19"/>
  <c r="AF26" i="19"/>
  <c r="Z6" i="19"/>
  <c r="T26" i="19"/>
  <c r="Z46" i="19"/>
  <c r="AF46" i="19"/>
  <c r="T46" i="19"/>
  <c r="T6" i="19"/>
  <c r="AF36" i="19"/>
  <c r="N26" i="19"/>
  <c r="Z16" i="19"/>
  <c r="AL26" i="19"/>
  <c r="Z36" i="19"/>
  <c r="N36" i="19"/>
  <c r="AL46" i="19"/>
  <c r="T36" i="19"/>
  <c r="AF16" i="19"/>
  <c r="N6" i="19"/>
  <c r="N16" i="19"/>
  <c r="AE15"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64" i="1"/>
  <c r="AA14" i="19"/>
  <c r="O54" i="19"/>
  <c r="U44" i="19"/>
  <c r="U43" i="19"/>
  <c r="U13" i="19"/>
  <c r="AM53" i="19"/>
  <c r="AA53" i="19"/>
  <c r="AA43" i="19"/>
  <c r="O53" i="19"/>
  <c r="O23" i="19"/>
  <c r="O13" i="19"/>
  <c r="AG43" i="19"/>
  <c r="U33" i="19"/>
  <c r="U23" i="19"/>
  <c r="AM13" i="19"/>
  <c r="AM23" i="19"/>
  <c r="AG13" i="19"/>
  <c r="AA23" i="19"/>
  <c r="AG33" i="19"/>
  <c r="AA33" i="19"/>
  <c r="AM33" i="19"/>
  <c r="AA13" i="19"/>
  <c r="AE58"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63" i="1"/>
  <c r="AF53" i="19"/>
  <c r="T43" i="19"/>
  <c r="Z53" i="19"/>
  <c r="N43" i="19"/>
  <c r="T23" i="19"/>
  <c r="AF43" i="19"/>
  <c r="Z13" i="19"/>
  <c r="Z43" i="19"/>
  <c r="AF23" i="19"/>
  <c r="AL13" i="19"/>
  <c r="Z23" i="19"/>
  <c r="AL43" i="19"/>
  <c r="AF13" i="19"/>
  <c r="AL23" i="19"/>
  <c r="N13" i="19"/>
  <c r="T33" i="19"/>
  <c r="AL53" i="19"/>
  <c r="N23" i="19"/>
  <c r="N53" i="19"/>
  <c r="AF33" i="19"/>
  <c r="N33" i="19"/>
  <c r="AE57" i="1"/>
  <c r="T53" i="19"/>
  <c r="AL33" i="19"/>
  <c r="T13" i="19"/>
  <c r="Z33" i="19"/>
  <c r="Z47" i="19"/>
  <c r="T7" i="19"/>
  <c r="AL37" i="19"/>
  <c r="T17" i="19"/>
  <c r="Z17" i="19"/>
  <c r="AF7" i="19"/>
  <c r="AF37" i="19"/>
  <c r="N17" i="19"/>
  <c r="AF27" i="19"/>
  <c r="AE21"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E40"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E22" i="1"/>
  <c r="AA17" i="19"/>
  <c r="O7" i="19"/>
  <c r="AA37" i="19"/>
  <c r="AA27" i="19"/>
  <c r="AM27" i="19"/>
  <c r="U17" i="19"/>
  <c r="U47" i="19"/>
  <c r="AG17" i="19"/>
  <c r="O47" i="19"/>
  <c r="Z40" i="19"/>
  <c r="AE39"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M41" i="1" l="1"/>
  <c r="N41" i="1" s="1"/>
  <c r="M11" i="1"/>
  <c r="N11" i="1" s="1"/>
  <c r="M29" i="1"/>
  <c r="N29" i="1" s="1"/>
  <c r="M23" i="1"/>
  <c r="N23" i="1" s="1"/>
  <c r="M53" i="1"/>
  <c r="N53" i="1" s="1"/>
  <c r="M47" i="1"/>
  <c r="N47" i="1" s="1"/>
  <c r="M35" i="1"/>
  <c r="N35" i="1" s="1"/>
  <c r="M17" i="1"/>
  <c r="N17" i="1" s="1"/>
  <c r="M65" i="1"/>
  <c r="N65" i="1" s="1"/>
  <c r="M59" i="1"/>
  <c r="N59" i="1" s="1"/>
  <c r="X6" i="18" l="1"/>
  <c r="AJ30" i="18"/>
  <c r="R22" i="18"/>
  <c r="L6" i="18"/>
  <c r="R30" i="18"/>
  <c r="X22" i="18"/>
  <c r="X38" i="18"/>
  <c r="AD38" i="18"/>
  <c r="P17" i="1"/>
  <c r="AD22" i="18"/>
  <c r="O17" i="1"/>
  <c r="X14" i="18"/>
  <c r="L30" i="18"/>
  <c r="R38" i="18"/>
  <c r="AJ14" i="18"/>
  <c r="R14" i="18"/>
  <c r="AD6" i="18"/>
  <c r="AD30" i="18"/>
  <c r="AJ38" i="18"/>
  <c r="AJ22" i="18"/>
  <c r="X30" i="18"/>
  <c r="L14" i="18"/>
  <c r="L22" i="18"/>
  <c r="AJ6" i="18"/>
  <c r="L38" i="18"/>
  <c r="AD14" i="18"/>
  <c r="R6" i="18"/>
  <c r="L16" i="18"/>
  <c r="R24" i="18"/>
  <c r="L8" i="18"/>
  <c r="R32" i="18"/>
  <c r="AJ16" i="18"/>
  <c r="R8" i="18"/>
  <c r="AD24" i="18"/>
  <c r="AJ32" i="18"/>
  <c r="AD8" i="18"/>
  <c r="X40" i="18"/>
  <c r="P35" i="1"/>
  <c r="L32" i="18"/>
  <c r="X8" i="18"/>
  <c r="X24" i="18"/>
  <c r="AJ8" i="18"/>
  <c r="O35" i="1"/>
  <c r="R40" i="18"/>
  <c r="L40" i="18"/>
  <c r="X16" i="18"/>
  <c r="L24" i="18"/>
  <c r="AJ24" i="18"/>
  <c r="X32" i="18"/>
  <c r="AJ40" i="18"/>
  <c r="R16" i="18"/>
  <c r="AD40" i="18"/>
  <c r="AD32" i="18"/>
  <c r="AD16" i="18"/>
  <c r="O47" i="1"/>
  <c r="J42" i="18"/>
  <c r="P34" i="18"/>
  <c r="AB18" i="18"/>
  <c r="AB42" i="18"/>
  <c r="AH34" i="18"/>
  <c r="P10" i="18"/>
  <c r="V34" i="18"/>
  <c r="P42" i="18"/>
  <c r="V42" i="18"/>
  <c r="AH42" i="18"/>
  <c r="AB26" i="18"/>
  <c r="AH26" i="18"/>
  <c r="V26" i="18"/>
  <c r="AB34" i="18"/>
  <c r="V10" i="18"/>
  <c r="AH18" i="18"/>
  <c r="J34" i="18"/>
  <c r="J10" i="18"/>
  <c r="AB10" i="18"/>
  <c r="J18" i="18"/>
  <c r="P47" i="1"/>
  <c r="P26" i="18"/>
  <c r="J26" i="18"/>
  <c r="AH10" i="18"/>
  <c r="P18" i="18"/>
  <c r="V18" i="18"/>
  <c r="X42" i="18"/>
  <c r="AD34" i="18"/>
  <c r="AD10" i="18"/>
  <c r="AD26" i="18"/>
  <c r="L10" i="18"/>
  <c r="L42" i="18"/>
  <c r="L26" i="18"/>
  <c r="X18" i="18"/>
  <c r="X34" i="18"/>
  <c r="X10" i="18"/>
  <c r="R18" i="18"/>
  <c r="AJ10" i="18"/>
  <c r="AD42" i="18"/>
  <c r="AJ34" i="18"/>
  <c r="R26" i="18"/>
  <c r="O53" i="1"/>
  <c r="L18" i="18"/>
  <c r="AJ26" i="18"/>
  <c r="AD18" i="18"/>
  <c r="R34" i="18"/>
  <c r="L34" i="18"/>
  <c r="AJ42" i="18"/>
  <c r="R10" i="18"/>
  <c r="R42" i="18"/>
  <c r="X26" i="18"/>
  <c r="AJ18" i="18"/>
  <c r="P53" i="1"/>
  <c r="T14" i="18"/>
  <c r="AL38" i="18"/>
  <c r="N14" i="18"/>
  <c r="Z6" i="18"/>
  <c r="T38" i="18"/>
  <c r="T22" i="18"/>
  <c r="AL14" i="18"/>
  <c r="N22" i="18"/>
  <c r="P23" i="1"/>
  <c r="AF22" i="18"/>
  <c r="N6" i="18"/>
  <c r="AF6" i="18"/>
  <c r="AF38" i="18"/>
  <c r="O23" i="1"/>
  <c r="AD23" i="1" s="1"/>
  <c r="N38" i="18"/>
  <c r="AL30" i="18"/>
  <c r="AL22" i="18"/>
  <c r="T6" i="18"/>
  <c r="AF14" i="18"/>
  <c r="AF30" i="18"/>
  <c r="Z22" i="18"/>
  <c r="T30" i="18"/>
  <c r="Z30" i="18"/>
  <c r="AL6" i="18"/>
  <c r="Z14" i="18"/>
  <c r="Z38" i="18"/>
  <c r="N30" i="18"/>
  <c r="J40" i="18"/>
  <c r="AB40" i="18"/>
  <c r="AH32" i="18"/>
  <c r="AB24" i="18"/>
  <c r="V16" i="18"/>
  <c r="O29" i="1"/>
  <c r="J16" i="18"/>
  <c r="P32" i="18"/>
  <c r="V24" i="18"/>
  <c r="P24" i="18"/>
  <c r="V40" i="18"/>
  <c r="P16" i="18"/>
  <c r="P40" i="18"/>
  <c r="V32" i="18"/>
  <c r="AH16" i="18"/>
  <c r="AB16" i="18"/>
  <c r="V8" i="18"/>
  <c r="AH24" i="18"/>
  <c r="AH8" i="18"/>
  <c r="AH40" i="18"/>
  <c r="J8" i="18"/>
  <c r="AB32" i="18"/>
  <c r="AB8" i="18"/>
  <c r="J24" i="18"/>
  <c r="J32" i="18"/>
  <c r="P8" i="18"/>
  <c r="P29" i="1"/>
  <c r="Z42" i="18"/>
  <c r="T18" i="18"/>
  <c r="AF34" i="18"/>
  <c r="AF42" i="18"/>
  <c r="N42" i="18"/>
  <c r="Z18" i="18"/>
  <c r="AL10" i="18"/>
  <c r="AL26" i="18"/>
  <c r="AF26" i="18"/>
  <c r="Z10" i="18"/>
  <c r="N18" i="18"/>
  <c r="T26" i="18"/>
  <c r="AF10" i="18"/>
  <c r="T34" i="18"/>
  <c r="N26" i="18"/>
  <c r="AL18" i="18"/>
  <c r="N10" i="18"/>
  <c r="AF18" i="18"/>
  <c r="Z26" i="18"/>
  <c r="AL34" i="18"/>
  <c r="O59" i="1"/>
  <c r="Z34" i="18"/>
  <c r="T10" i="18"/>
  <c r="P59" i="1"/>
  <c r="AL42" i="18"/>
  <c r="N34" i="18"/>
  <c r="T42" i="18"/>
  <c r="P14" i="18"/>
  <c r="V22" i="18"/>
  <c r="V14" i="18"/>
  <c r="P22" i="18"/>
  <c r="V38" i="18"/>
  <c r="AH14" i="18"/>
  <c r="AH38" i="18"/>
  <c r="J14" i="18"/>
  <c r="AB22" i="18"/>
  <c r="V30" i="18"/>
  <c r="AB14" i="18"/>
  <c r="AB38" i="18"/>
  <c r="J30" i="18"/>
  <c r="P38" i="18"/>
  <c r="AB6" i="18"/>
  <c r="O11" i="1"/>
  <c r="AD11" i="1" s="1"/>
  <c r="AH30" i="18"/>
  <c r="J38" i="18"/>
  <c r="AH6" i="18"/>
  <c r="V6" i="18"/>
  <c r="AB30" i="18"/>
  <c r="J22" i="18"/>
  <c r="J6" i="18"/>
  <c r="P30" i="18"/>
  <c r="AH22" i="18"/>
  <c r="P6" i="18"/>
  <c r="P11" i="1"/>
  <c r="AH12" i="18"/>
  <c r="J20" i="18"/>
  <c r="J44" i="18"/>
  <c r="AB28" i="18"/>
  <c r="P28" i="18"/>
  <c r="P65" i="1"/>
  <c r="P12" i="18"/>
  <c r="AH20" i="18"/>
  <c r="P44" i="18"/>
  <c r="AB12" i="18"/>
  <c r="P20" i="18"/>
  <c r="J36" i="18"/>
  <c r="P36" i="18"/>
  <c r="AB44" i="18"/>
  <c r="V44" i="18"/>
  <c r="J28" i="18"/>
  <c r="AH36" i="18"/>
  <c r="V12" i="18"/>
  <c r="V28" i="18"/>
  <c r="AH44" i="18"/>
  <c r="AB20" i="18"/>
  <c r="AB36" i="18"/>
  <c r="AH28" i="18"/>
  <c r="V36" i="18"/>
  <c r="V20" i="18"/>
  <c r="O65" i="1"/>
  <c r="AD65" i="1" s="1"/>
  <c r="AC65" i="1" s="1"/>
  <c r="J12" i="18"/>
  <c r="AF24" i="18"/>
  <c r="AF32" i="18"/>
  <c r="T40" i="18"/>
  <c r="O41" i="1"/>
  <c r="Z40" i="18"/>
  <c r="AL8" i="18"/>
  <c r="AF8" i="18"/>
  <c r="T8" i="18"/>
  <c r="Z16" i="18"/>
  <c r="T24" i="18"/>
  <c r="AL24" i="18"/>
  <c r="Z32" i="18"/>
  <c r="N32" i="18"/>
  <c r="N16" i="18"/>
  <c r="Z8" i="18"/>
  <c r="AL40" i="18"/>
  <c r="N8" i="18"/>
  <c r="N24" i="18"/>
  <c r="T32" i="18"/>
  <c r="T16" i="18"/>
  <c r="AF40" i="18"/>
  <c r="AF16" i="18"/>
  <c r="AL32" i="18"/>
  <c r="N40" i="18"/>
  <c r="Z24" i="18"/>
  <c r="AL16" i="18"/>
  <c r="P41" i="1"/>
  <c r="AC23" i="1" l="1"/>
  <c r="AD24" i="1"/>
  <c r="AC24" i="1" s="1"/>
  <c r="AC11" i="1"/>
  <c r="P16" i="19" s="1"/>
  <c r="AD12" i="1"/>
  <c r="AC12" i="1" s="1"/>
  <c r="V25" i="19"/>
  <c r="V45" i="19"/>
  <c r="J15" i="19"/>
  <c r="AB45" i="19"/>
  <c r="AH25" i="19"/>
  <c r="AH55" i="19"/>
  <c r="AB15" i="19"/>
  <c r="P15" i="19"/>
  <c r="P45" i="19"/>
  <c r="V15" i="19"/>
  <c r="J35" i="19"/>
  <c r="AH45" i="19"/>
  <c r="J25" i="19"/>
  <c r="AB35" i="19"/>
  <c r="AH15" i="19"/>
  <c r="V35" i="19"/>
  <c r="J55" i="19"/>
  <c r="AB55" i="19"/>
  <c r="AE65" i="1"/>
  <c r="AB25" i="19"/>
  <c r="AH35" i="19"/>
  <c r="P55" i="19"/>
  <c r="J45" i="19"/>
  <c r="P25" i="19"/>
  <c r="P35" i="19"/>
  <c r="V55" i="19"/>
  <c r="AD25" i="1" l="1"/>
  <c r="AC25" i="1" s="1"/>
  <c r="AJ28" i="19" s="1"/>
  <c r="W38" i="19"/>
  <c r="AI28" i="19"/>
  <c r="K38" i="19"/>
  <c r="W48" i="19"/>
  <c r="Q38" i="19"/>
  <c r="AI38" i="19"/>
  <c r="W28" i="19"/>
  <c r="W8" i="19"/>
  <c r="K48" i="19"/>
  <c r="AE24" i="1"/>
  <c r="K18" i="19"/>
  <c r="K8" i="19"/>
  <c r="AC28" i="19"/>
  <c r="AI18" i="19"/>
  <c r="K28" i="19"/>
  <c r="Q18" i="19"/>
  <c r="AC18" i="19"/>
  <c r="AC8" i="19"/>
  <c r="W18" i="19"/>
  <c r="AI8" i="19"/>
  <c r="Q48" i="19"/>
  <c r="AC38" i="19"/>
  <c r="Q28" i="19"/>
  <c r="AI48" i="19"/>
  <c r="Q8" i="19"/>
  <c r="AC48" i="19"/>
  <c r="R48" i="19"/>
  <c r="AD8" i="19"/>
  <c r="L8" i="19"/>
  <c r="X38" i="19"/>
  <c r="AD38" i="19"/>
  <c r="AD48" i="19"/>
  <c r="AB28" i="19"/>
  <c r="V38" i="19"/>
  <c r="AH28" i="19"/>
  <c r="AB38" i="19"/>
  <c r="V48" i="19"/>
  <c r="P8" i="19"/>
  <c r="AB48" i="19"/>
  <c r="V8" i="19"/>
  <c r="AH18" i="19"/>
  <c r="J38" i="19"/>
  <c r="J28" i="19"/>
  <c r="V28" i="19"/>
  <c r="AB8" i="19"/>
  <c r="AE23" i="1"/>
  <c r="P38" i="19"/>
  <c r="AH38" i="19"/>
  <c r="P48" i="19"/>
  <c r="AB18" i="19"/>
  <c r="J8" i="19"/>
  <c r="J18" i="19"/>
  <c r="AH8" i="19"/>
  <c r="AH48" i="19"/>
  <c r="V18" i="19"/>
  <c r="P18" i="19"/>
  <c r="J48" i="19"/>
  <c r="P28" i="19"/>
  <c r="V36" i="19"/>
  <c r="V6" i="19"/>
  <c r="V16" i="19"/>
  <c r="P26" i="19"/>
  <c r="J26" i="19"/>
  <c r="V26" i="19"/>
  <c r="J36" i="19"/>
  <c r="J16" i="19"/>
  <c r="P36" i="19"/>
  <c r="AB26" i="19"/>
  <c r="AB36" i="19"/>
  <c r="J6" i="19"/>
  <c r="P46" i="19"/>
  <c r="AB6" i="19"/>
  <c r="AH36" i="19"/>
  <c r="AB46" i="19"/>
  <c r="AH46" i="19"/>
  <c r="V46" i="19"/>
  <c r="AH16" i="19"/>
  <c r="AH26" i="19"/>
  <c r="AH6" i="19"/>
  <c r="J46" i="19"/>
  <c r="AE11" i="1"/>
  <c r="AB16" i="19"/>
  <c r="P6" i="19"/>
  <c r="W36" i="19"/>
  <c r="AC36" i="19"/>
  <c r="K16" i="19"/>
  <c r="AI36" i="19"/>
  <c r="K46" i="19"/>
  <c r="AI46" i="19"/>
  <c r="AC46" i="19"/>
  <c r="Q46" i="19"/>
  <c r="AC26" i="19"/>
  <c r="AC16" i="19"/>
  <c r="W16" i="19"/>
  <c r="K36" i="19"/>
  <c r="Q26" i="19"/>
  <c r="AE12" i="1"/>
  <c r="Q6" i="19"/>
  <c r="K6" i="19"/>
  <c r="Q16" i="19"/>
  <c r="Q36" i="19"/>
  <c r="AC6" i="19"/>
  <c r="AI6" i="19"/>
  <c r="AI16" i="19"/>
  <c r="W6" i="19"/>
  <c r="AI26" i="19"/>
  <c r="W26" i="19"/>
  <c r="K26" i="19"/>
  <c r="W46" i="19"/>
  <c r="B223" i="13"/>
  <c r="B222" i="13"/>
  <c r="AJ38" i="19" l="1"/>
  <c r="AD28" i="19"/>
  <c r="L48" i="19"/>
  <c r="R8" i="19"/>
  <c r="AD18" i="19"/>
  <c r="AJ48" i="19"/>
  <c r="R28" i="19"/>
  <c r="X48" i="19"/>
  <c r="X28" i="19"/>
  <c r="AJ8" i="19"/>
  <c r="X8" i="19"/>
  <c r="X18" i="19"/>
  <c r="AE25" i="1"/>
  <c r="L18" i="19"/>
  <c r="R38" i="19"/>
  <c r="L38" i="19"/>
  <c r="AJ18" i="19"/>
  <c r="R18" i="19"/>
  <c r="L28" i="19"/>
</calcChain>
</file>

<file path=xl/comments1.xml><?xml version="1.0" encoding="utf-8"?>
<comments xmlns="http://schemas.openxmlformats.org/spreadsheetml/2006/main">
  <authors>
    <author/>
    <author>Ing. Andru</author>
  </authors>
  <commentList>
    <comment ref="C6" authorId="0" shapeId="0">
      <text>
        <r>
          <rPr>
            <sz val="11"/>
            <color theme="1"/>
            <rFont val="Calibri"/>
            <family val="2"/>
            <scheme val="minor"/>
          </rPr>
          <t>======
ID#AAAAeuO1Taw
Ing. Andru    (2022-08-23 13:14:33)
Traer la Información de la caracterización del proceso.</t>
        </r>
      </text>
    </comment>
    <comment ref="C7" authorId="0" shapeId="0">
      <text>
        <r>
          <rPr>
            <sz val="11"/>
            <color rgb="FF000000"/>
            <rFont val="Calibri"/>
            <family val="2"/>
          </rPr>
          <t xml:space="preserve">======
</t>
        </r>
        <r>
          <rPr>
            <sz val="11"/>
            <color rgb="FF000000"/>
            <rFont val="Calibri"/>
            <family val="2"/>
          </rPr>
          <t xml:space="preserve">ID#AAAAeuO1TbE
</t>
        </r>
        <r>
          <rPr>
            <sz val="11"/>
            <color rgb="FF000000"/>
            <rFont val="Calibri"/>
            <family val="2"/>
          </rPr>
          <t xml:space="preserve">Ing. Andru    (2022-08-23 13:14:33)
</t>
        </r>
        <r>
          <rPr>
            <sz val="11"/>
            <color rgb="FF000000"/>
            <rFont val="Calibri"/>
            <family val="2"/>
          </rPr>
          <t>Traer la Información de la caracterización del proceso.</t>
        </r>
      </text>
    </comment>
    <comment ref="A9" authorId="1" shapeId="0">
      <text>
        <r>
          <rPr>
            <b/>
            <sz val="9"/>
            <color indexed="81"/>
            <rFont val="Tahoma"/>
            <family val="2"/>
          </rPr>
          <t>Número consecutivo de los riesgos que se identifican.</t>
        </r>
        <r>
          <rPr>
            <sz val="9"/>
            <color indexed="81"/>
            <rFont val="Tahoma"/>
            <family val="2"/>
          </rPr>
          <t xml:space="preserve">
</t>
        </r>
      </text>
    </comment>
    <comment ref="B9" authorId="1" shapeId="0">
      <text>
        <r>
          <rPr>
            <b/>
            <sz val="9"/>
            <color indexed="81"/>
            <rFont val="Tahoma"/>
            <family val="2"/>
          </rPr>
          <t>Consulte su matriz de activos de información.</t>
        </r>
      </text>
    </comment>
    <comment ref="D9" authorId="1" shapeId="0">
      <text>
        <r>
          <rPr>
            <b/>
            <sz val="9"/>
            <color indexed="81"/>
            <rFont val="Tahoma"/>
            <family val="2"/>
          </rPr>
          <t>En el manual de gestión de riesgos de seguridad de la información, encontrará sugerencias de AMENAZAS que puede usar o ajustar según se requiera.</t>
        </r>
      </text>
    </comment>
    <comment ref="E9" authorId="1" shapeId="0">
      <text>
        <r>
          <rPr>
            <b/>
            <sz val="9"/>
            <color indexed="81"/>
            <rFont val="Tahoma"/>
            <family val="2"/>
          </rPr>
          <t>En el manual de gestión de riesgos de seguridad de la información, encontrará sugerencias de VULNERABILIDADES que puede usar o ajustar según se requiera.</t>
        </r>
        <r>
          <rPr>
            <sz val="9"/>
            <color indexed="81"/>
            <rFont val="Tahoma"/>
            <family val="2"/>
          </rPr>
          <t xml:space="preserve">
</t>
        </r>
      </text>
    </comment>
    <comment ref="S9" authorId="1" shapeId="0">
      <text>
        <r>
          <rPr>
            <b/>
            <sz val="9"/>
            <color rgb="FF000000"/>
            <rFont val="Tahoma"/>
            <family val="2"/>
          </rPr>
          <t>Este campo es automático y se diligencia al seleccionar el tipo de control (Columna T)</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<sst xmlns="http://schemas.openxmlformats.org/spreadsheetml/2006/main" count="465" uniqueCount="303">
  <si>
    <t xml:space="preserve">Referencia </t>
  </si>
  <si>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</si>
  <si>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</si>
  <si>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</si>
  <si>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</si>
  <si>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</si>
  <si>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</si>
  <si>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</si>
  <si>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</si>
  <si>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</si>
  <si>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</si>
  <si>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</si>
  <si>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</si>
  <si>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</si>
  <si>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</si>
  <si>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</si>
  <si>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</si>
  <si>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</si>
  <si>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</si>
  <si>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</si>
  <si>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</si>
  <si>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</si>
  <si>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</si>
  <si>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</si>
  <si>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</si>
  <si>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</si>
  <si>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</si>
  <si>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</si>
  <si>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</si>
  <si>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</si>
  <si>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</si>
  <si>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</si>
  <si>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</si>
  <si>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</si>
  <si>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</si>
  <si>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</si>
  <si>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</si>
  <si>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</si>
  <si>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</si>
  <si>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</si>
  <si>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</si>
  <si>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</si>
  <si>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</si>
  <si>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</si>
  <si>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</si>
  <si>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</si>
  <si>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</si>
  <si>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</si>
  <si>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</si>
  <si>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</si>
  <si>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</si>
  <si>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</si>
  <si>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</si>
  <si>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</si>
  <si>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</si>
  <si>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</si>
  <si>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</si>
  <si>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</si>
  <si>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</si>
  <si>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</si>
  <si>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</si>
  <si>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</si>
  <si>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</si>
  <si>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</si>
  <si>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</si>
  <si>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</si>
  <si>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</si>
  <si>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</si>
  <si>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</si>
  <si>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</si>
  <si>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</si>
  <si>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</si>
  <si>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</si>
  <si>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</si>
  <si>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</si>
  <si>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</si>
  <si>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</si>
  <si>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</si>
  <si>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</si>
  <si>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</si>
  <si>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</si>
  <si>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</si>
  <si>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</si>
  <si>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</si>
  <si>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</si>
  <si>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</si>
  <si>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</si>
  <si>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</si>
  <si>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</si>
  <si>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</si>
  <si>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</si>
  <si>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</si>
  <si>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</si>
  <si>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</si>
  <si>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</si>
  <si>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</si>
  <si>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</si>
  <si>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</si>
  <si>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</si>
  <si>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</si>
  <si>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</si>
  <si>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</si>
  <si>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</si>
  <si>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</si>
  <si>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</si>
  <si>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</si>
  <si>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</si>
  <si>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</si>
  <si>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</si>
  <si>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</si>
  <si>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</si>
  <si>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</si>
  <si>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</si>
  <si>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</si>
  <si>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</si>
  <si>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</si>
  <si>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</si>
  <si>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</si>
  <si>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</si>
  <si>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</si>
  <si>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</si>
  <si>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</si>
  <si>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</si>
  <si>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</si>
  <si>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</si>
  <si>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</si>
  <si>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</si>
  <si>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</si>
  <si>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</si>
  <si>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</si>
  <si>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</si>
  <si>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</si>
  <si>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</si>
  <si>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</si>
  <si>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</si>
  <si>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</si>
  <si>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</si>
  <si>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</si>
  <si>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</si>
  <si>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</si>
  <si>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</si>
  <si>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</si>
  <si>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</si>
  <si>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</si>
  <si>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</si>
  <si>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</si>
  <si>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</si>
  <si>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</si>
  <si>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</si>
  <si>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</si>
  <si>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</si>
  <si>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</si>
  <si>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</si>
  <si>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Criterios de Impacto</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</si>
  <si>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</si>
  <si>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</si>
  <si>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</si>
  <si>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</si>
  <si>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</si>
  <si>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</si>
  <si>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r>
      <t xml:space="preserve">ATRIBUTOS INFORMATIVOS
</t>
    </r>
    <r>
      <rPr>
        <sz val="9"/>
        <rFont val="Arial Narrow"/>
        <family val="2"/>
      </rPr>
      <t>Frecuencia</t>
    </r>
  </si>
  <si>
    <r>
      <t xml:space="preserve">ATRIBUTOS INFORMATIVOS
</t>
    </r>
    <r>
      <rPr>
        <sz val="9"/>
        <rFont val="Arial Narrow"/>
        <family val="2"/>
      </rPr>
      <t>Registro</t>
    </r>
  </si>
  <si>
    <r>
      <t xml:space="preserve">Plan de Acción
</t>
    </r>
    <r>
      <rPr>
        <sz val="9"/>
        <rFont val="Arial Narrow"/>
        <family val="2"/>
      </rPr>
      <t xml:space="preserve">Responsable, fecha implementación, fecha seguimiento, seguimiento. </t>
    </r>
  </si>
  <si>
    <t>Proceso</t>
  </si>
  <si>
    <t>Objetivo</t>
  </si>
  <si>
    <t>Alcance</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</si>
  <si>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</si>
  <si>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</si>
  <si>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</si>
  <si>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</si>
  <si>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</si>
  <si>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</si>
  <si>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</si>
  <si>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</si>
  <si>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Dependencia:</t>
  </si>
  <si>
    <t>Procesos</t>
  </si>
  <si>
    <t>Dependencias</t>
  </si>
  <si>
    <t>Despacho</t>
  </si>
  <si>
    <t>Subsecretaría de la Políticas de Igualdad</t>
  </si>
  <si>
    <t>Subsecretaría de Fortalecimiento de Capacidades y Oportunidades</t>
  </si>
  <si>
    <t>Subsecretaría de Gestión Corporativa</t>
  </si>
  <si>
    <t>AMENAZA (Causa Inmediata)</t>
  </si>
  <si>
    <t>VULNERABILIDAD (Causa Raíz)</t>
  </si>
  <si>
    <t>TIPO DE ACTIVO</t>
  </si>
  <si>
    <t>Tipo de Activo</t>
  </si>
  <si>
    <t>Información</t>
  </si>
  <si>
    <t>Hardware</t>
  </si>
  <si>
    <t>Software</t>
  </si>
  <si>
    <t>Servicios</t>
  </si>
  <si>
    <t>Recurso Humano</t>
  </si>
  <si>
    <t>BD Personales</t>
  </si>
  <si>
    <t>Infraestructura Crítica Cibernética</t>
  </si>
  <si>
    <t>Tipo de Riesgo</t>
  </si>
  <si>
    <t>1. Posibilidad de pérdida de Confidencialidad</t>
  </si>
  <si>
    <t>2. Posibilidad de pérdida de Integridad</t>
  </si>
  <si>
    <t>3. Posibilidad de pérdida de Disponibilidad</t>
  </si>
  <si>
    <t>1. Posibilidad de pérdida de confidencialidad, divulgación no autorizada o mal uso de la información de datos personales.</t>
  </si>
  <si>
    <t>2. Posibilidad de pérdida de integridad, alteración, o modificación de la Información de datos personales.</t>
  </si>
  <si>
    <t>3. Posibilidad de afectación de la disponibilidad de la plataforma tecnológica o aplicativos que gestionan datos personales.</t>
  </si>
  <si>
    <t>4. Posibilidad de sanciones por incumplimiento de las directrices o normativas frente al tratamiento de los datos personales.</t>
  </si>
  <si>
    <t>TIPOS DE RIESGOS</t>
  </si>
  <si>
    <t>Etiquetas de fila</t>
  </si>
  <si>
    <t>Total general</t>
  </si>
  <si>
    <t>***Riesgos de Seguridad de la Información</t>
  </si>
  <si>
    <t>***Riesgos de Datos Personales</t>
  </si>
  <si>
    <t>Tabla Atributos para el diseño del control</t>
  </si>
  <si>
    <t>La actividad que conlleva el riesgo se ejecuta como máximos 5 veces por año</t>
  </si>
  <si>
    <t>La actividad que conlleva el riesgo se ejecuta de 6 a 24 veces por año</t>
  </si>
  <si>
    <t>La actividad que conlleva el riesgo se ejecuta de 25 a 150 veces por año</t>
  </si>
  <si>
    <t>La actividad que conlleva el riesgo se ejecuta mínimo 150 veces al año y máximo 300 veces por año</t>
  </si>
  <si>
    <t>La actividad que conlleva el riesgo se ejecuta más de 301 veces por año</t>
  </si>
  <si>
    <t>Sin Iniciar</t>
  </si>
  <si>
    <t>1. Ejecucion y Administracion de procesos</t>
  </si>
  <si>
    <t>2. Fraude Externo</t>
  </si>
  <si>
    <t>3. Fraude Interno</t>
  </si>
  <si>
    <t>4. Fallas Tecnologicas</t>
  </si>
  <si>
    <t>5. Relaciones Laborales</t>
  </si>
  <si>
    <t>6. Usuarios, productos y practicas , organizacionales</t>
  </si>
  <si>
    <t>7. Daños Activos Fisicos</t>
  </si>
  <si>
    <t>Dependencia</t>
  </si>
  <si>
    <t>Seleccione de la lista desplegable el nombre del proceso al cual se le identificarán y valorarán los riesgos.</t>
  </si>
  <si>
    <t>Seleccione de la lista desplegable el nombre de la dependencia al cual se le identificarán y valorarán los riesgos.</t>
  </si>
  <si>
    <t>Diligencie el objetivo del proceso o dependencia. Consulte la caracterización del proceso o dependencia en Kawak.</t>
  </si>
  <si>
    <t>Diligencie el alcance del proceso o dependencia. Consulte la caracterización del proceso o dependencia en Kawak.</t>
  </si>
  <si>
    <t>Permite definir unl consecutivo de riesgos.</t>
  </si>
  <si>
    <t xml:space="preserve">Consulte la matriz de activos de su proceso o dependencia según corresponda, los activos se van a agrupar por tipo de activo (Información, Hardware, Software, Servicio, Bases de Datos Personales, Recurso Humano, Infraestructura Crítica Cibernética) para identificar los riesgos, amenazas y vulnerabilidades. En este campo en la lista desplegable seleccione el tipo de activo y consulte en la matriz de activos a qué hace referencia para definir la descripción del riesgo. </t>
  </si>
  <si>
    <t>Analice las consecuencias que puede ocasionar a la Entidad la materialización del riesgo.</t>
  </si>
  <si>
    <t>Circunstancias bajo las cuales se presenta el riesgo, es la situación más evidente frente al riesgo, redacte de la forma más concreta posible. 
En el manual de gestión de riesgos de seguridad de la información, consulte el numeral 10.3 Amenazas, verifique en la tabla de Amenazas si hay algunas de las amenazas comunes que le aplique, o adáptela de acuerdo a su necesidad, recuerde que la información allí consignada es una guía de referencia.</t>
  </si>
  <si>
    <t>Causa principal o básica, corresponde a las razones por la cuales se puede presentar el riesgo por la falta de un control, redacte de la forma más concreta posible.
En el manual de gestión de riesgos de seguridad de la información, consulte el numeral 10.4 Amenazas, verifique en la tabla de Vulnerabilidades si hay algunas de las vulnerabilidades comunes que le aplique, o adáptela de acuerdo a su necesidad, recuerde que la información allí consignada es una guía de referencia.</t>
  </si>
  <si>
    <t>Seleccione de la Lista desplegable el tipo de riesgo, hay 3 riesgos asociados a seguridad de la información y 4 asociados a bases de datos personales.
En el manual de gestión de riesgos de seguridad de la información, consulte el numeral 10.2 Riesgos de Seguridad de la Información y Bases de Datos Personales.</t>
  </si>
  <si>
    <t>Consolida o resume los análisis sobre impacto + causa inmediata + causa raíz, permitiendo contar con una redacción clara y concreta del riesgo identificado. Tenga en cuenta que la descripción inicia con POSIBILIDAD DE + Tipo de Riesgo para la entidad + “AMENAZA - Causa Inmediata (Cómo)” + “VULNERABILIDADES - Causa Raíz (Por qué)”</t>
  </si>
  <si>
    <t>Utilice la lista desplegable que se encuentra parametrizada, le aparecerán las opciones: 1) Ejecución y Administración de procesos, 2) Fraude Externo, 3) Fraude Interno, 4) Fallas Tecnológicas, 5) Relaciones Laborales, 6) Usuarios, productos y practicas organizacionales, 7) Daños Activos Físicos, seleccione la opción que corresponda.
En el manual de gestión de riesgos de seguridad de la información, consulte el numeral 10.5 Clasificación del Riesgo, en el cual se encuentra la descripción de cada uno.</t>
  </si>
  <si>
    <t>Defina el # de veces que se ejecuta la actividad durante el año, (Recuerde la probabilidad u ocurrencia del riesgo se define como el No. de veces que se pasa por el punto de riesgo en el periodo de 1 año). La matriz automáticamente hará el cálculo para el nivel de probabilidad inherente (Columnas J-K)
En el manual de gestión de riesgos de seguridad de la información, consulte el numeral 11.1 Probabilidad, en el cual se encuentra la tabla Análisis de Probabilidad, con la descripción de cada uno, de igual forma también se encuentra en el instrumento en la hoja “Tabla Probabilidad”.</t>
  </si>
  <si>
    <t>Utilice la lista desplegable que se encuentra parametrizada, le aparecerán las opciones de la tabla de Impacto en la hoja “Tabla Impacto” del instrumento. La matriz automáticamente hará el cálculo para el nivel de impacto inherente (Columnas N-P).
En el manual de gestión de riesgos de seguridad de la información, consulte el numeral 11.2 Impacto, en el cual se encuentra la tabla Análisis de Impacto.</t>
  </si>
  <si>
    <t>Permite identificar el número de controles que se van a aplicar.</t>
  </si>
  <si>
    <t>Este campo NO se diligencia, depende de lo que seleccione en la columna T(Tipo).</t>
  </si>
  <si>
    <t xml:space="preserve">Utilice la lista desplegable que se encuentra parametrizada, le aparecerán las opciones: 1) Preventivo, 2) Detectivo, 3) Correctivo, seleccione según corresponda. </t>
  </si>
  <si>
    <t>Utilice la lista desplegable que se encuentra parametrizada, le aparecerán las opciones: 1) Automático, 2) Manual, seleccione según corresponda.</t>
  </si>
  <si>
    <t xml:space="preserve">Este campo NO se diligencia, la matriz automáticamente hará el cálculo para el control analizado (Columna V) </t>
  </si>
  <si>
    <t>Utilice la lista desplegable que se encuentra parametrizada, le aparecerán las opciones: 1) Documentado, 2) Sin documentar.</t>
  </si>
  <si>
    <t>Utilice la lista desplegable que se encuentra parametrizada, le aparecerán las opciones: 1) Continua, 2) Aleatoria.</t>
  </si>
  <si>
    <t>Utilice la lista desplegable que se encuentra parametrizada, le aparecerán las opciones: 1) Con Registro, 2) Sin Registro.</t>
  </si>
  <si>
    <t>Evaluación del Nivel de Riesgo - Nivel de Riesgo Residual
•	Probabilidad Residual (Z)
•	Probabilidad Residual Final (AA)
•	% (AB)
•	Impacto Residual Final (AC)
•	% (AD)
•	Zona de Riesgo Final (AE)</t>
  </si>
  <si>
    <t>Estos campos NO se diligencian, la matriz automáticamente hará el cálculo, acorde con el control o controles definidos con sus atributos analizados, lo que permitirá establecer el nivel de riesgo inherente (Columnas Z y AB,  AC - AE).</t>
  </si>
  <si>
    <t>Utilice la lista desplegable que se encuentra parametrizada, le aparecerán las opciones: 1) Aceptar, 2) Evitar, 3) Reducir (compartir), 4) 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</si>
  <si>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tercerización), indicando información relevante. </t>
  </si>
  <si>
    <t>Utilice la lista desplegable que se encuentra parametrizada, le aparecerán las opciones: 1) Finalizado, 2) En curso, 3) Sin Iniciar, la selección en este caso dependerá de las acciones del plan que se hayan establecido en cada caso.</t>
  </si>
  <si>
    <t>DESPACHO - SECRETARÍA DISTRITAL DE CULTURA, RECREACIÓN Y DEPORTE</t>
  </si>
  <si>
    <t>OFICINA DE CONTROL INTERNO</t>
  </si>
  <si>
    <t>OFICINA DE CONTROL INTERNO DISCIPLINARIO</t>
  </si>
  <si>
    <t>OFICINA ASESORA DE JURÍDICA</t>
  </si>
  <si>
    <t>OFICINA ASESORA DE COMUNICACIONES</t>
  </si>
  <si>
    <t>OFICINA ASESORA DE PLANEACIÓN</t>
  </si>
  <si>
    <t>OFICINA DE TECNOLOGÍAS DE LA INFORMACIÓN</t>
  </si>
  <si>
    <t>DIRECCIÓN DE FOMENTO</t>
  </si>
  <si>
    <t>DIRECCIÓN DE ASUNTOS LOCALES Y PARTICIPACIÓN</t>
  </si>
  <si>
    <t>DIRECCIÓN DE ECONOMÍA, ESTUDIOS Y POLÍTICA</t>
  </si>
  <si>
    <t>DIRECCIÓN DE PERSONAS JURÍDICAS</t>
  </si>
  <si>
    <t>SUBSECRETARÍA DISTRITAL DE CULTURA CIUDADANA Y GESTIÓN DEL CONOCIMIENTO</t>
  </si>
  <si>
    <t>DIRECCIÓN DEL OBSERVATORIO Y GESTIÓN DEL CONOCIMIENTO CULTURAL</t>
  </si>
  <si>
    <t>DIRECCIÓN DE ARTE CULTURA Y PATRIMONIO</t>
  </si>
  <si>
    <t>SUBDIRECCIÓN DE GESTIÓN CULTURAL Y ARTÍSTICA</t>
  </si>
  <si>
    <t>SUBDIRECCIÓN DE INFRAESTRUCTURA CULTURAL Y PATRIMONIO CULTURAL</t>
  </si>
  <si>
    <t>DIRECCIÓN DE LECTURA Y BIBLIOTECAS</t>
  </si>
  <si>
    <t>DIRECCIÓN DE GESTIÓN CORPORATIVA</t>
  </si>
  <si>
    <t>GRUPO INTERNO DE TRABAJO DE TALENTO HUMANO</t>
  </si>
  <si>
    <t>GRUPO INTERNO DE TRABAJO DE GESTIÓN FINANCIERA</t>
  </si>
  <si>
    <t>GRUPO INTERNO DE TRABAJO DE CONTRATACIÓN</t>
  </si>
  <si>
    <t>GRUPO INTERNO DE TRABAJO DE GESTIÓN DE SERVICIOS ADMINISTRATIVOS</t>
  </si>
  <si>
    <t>GESTIÓN DOCUMENTAL, ARCHIVO Y CORRESPONDENCIA</t>
  </si>
  <si>
    <t>DIRECCIONAMIENTO ESTRATÉGICO</t>
  </si>
  <si>
    <t>COMUNICACIÓN ESTRATÉGICA</t>
  </si>
  <si>
    <t>GESTIÓN ESTRATÉGICA DE TI</t>
  </si>
  <si>
    <t>FORMULACIÓN Y SEGUIMIENTO DE POLÍTICAS PÚBLICAS</t>
  </si>
  <si>
    <t>PROMOCIÓN DE AGENTES Y PRÁCTICAS CULTURALES Y RECREODEPORTIVAS</t>
  </si>
  <si>
    <t>APROPIACIÓN DE LA INFRAESTUCTURA Y PATRIMONIO CULTURAL</t>
  </si>
  <si>
    <t>GESTIÓN DEL CONOCIMIENTO</t>
  </si>
  <si>
    <t>PARTICIPACIÓN CIUDADANA</t>
  </si>
  <si>
    <t>GESTIÓN OPERATIVA DE TI</t>
  </si>
  <si>
    <t>GESTIÓN JURÍDICA</t>
  </si>
  <si>
    <t>GESTIÓN FINANCIERA</t>
  </si>
  <si>
    <t>GESTIÓN DE TALENTO HUMANO</t>
  </si>
  <si>
    <t>RELACIÓN CON LA CIUDADANÍA</t>
  </si>
  <si>
    <t>GESTIÓN ADMINISTRATIVA</t>
  </si>
  <si>
    <t>GESTIÓN DOCUMENTAL</t>
  </si>
  <si>
    <t>SEGUIMIENTO Y EVALUACION DE LA GESTION</t>
  </si>
  <si>
    <t>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t>
  </si>
  <si>
    <t>Inicia desde la definición de estrategias que fomenten las prácticas
artísticas, culturales, recreativas y deportivas para el fortalecimiento
del sector cultura, recreación y deporte y finaliza con el seguimiento del
cumplimiento de las estrategias.</t>
  </si>
  <si>
    <t xml:space="preserve">Pérdida de la informacón por mal manejo del documento base </t>
  </si>
  <si>
    <t xml:space="preserve">Falta de conocimiento del personal o responsable de la información para el adecuado manejo de la base de datos </t>
  </si>
  <si>
    <t xml:space="preserve">Posibilidad de perdida de integridad de la información por mal manejo o por falta de conocmiento del responsable de la información para el adecuado manejo de la base de datos 
</t>
  </si>
  <si>
    <t xml:space="preserve">Establecer y realizar seguimiento semestral a los roles de acceso a las bases de datos de emprendimientos y de mentores (Aldea Bogotá)
por parte de la persona designada del área.  </t>
  </si>
  <si>
    <t>Realizar copia de seguridad de manera semestral en un lugar externo al drive a las bases de datos de emprendimientos y de mentores (Aldea Bogotá) por parte de la persona designada</t>
  </si>
  <si>
    <t xml:space="preserve">Pérdida de la confidencialidad de los datos personales   </t>
  </si>
  <si>
    <t xml:space="preserve">Falta de conocimiento del tratamiento  de datos personales por parte del personal o responsable de la información </t>
  </si>
  <si>
    <t>Posbilidad de pérdida de confidencialidad, divulgación no autorizada o mal uso de la información de datos personales por falta de conocimiento del tratamiento de datos personales por parte del personal responsable</t>
  </si>
  <si>
    <t xml:space="preserve">Revisar de manera semestral la clasificación de la información según el nivel de confidencialidad, de acuerdo con lo establecido en la ley 1712 del 2014. </t>
  </si>
  <si>
    <t>Socializar a la personas encargada del manejo de la base de datos la política de protección de datos personales de la SCRD</t>
  </si>
  <si>
    <t xml:space="preserve">Debilidad para el acceso ciudadano a la información de los informes y documentos por daño en la página institucional </t>
  </si>
  <si>
    <t xml:space="preserve">Daño en la página institucional o micrositio de la Dirección que impida el acceso </t>
  </si>
  <si>
    <t>Posbilidad de pérdida de afectación de la disponibildiad de los informes y documentos en la plataforma tecnológica por daño en la página institucional o micrositio de la DEEP en la página institucional</t>
  </si>
  <si>
    <t xml:space="preserve">Revisar mensualmente que los links y la información correspondiente a los documentos de: resultados de la cuenta satelite de cultura y economia creativa de bogota, guia practica para la creacion de areas de desarrollo naranja, diagnostico economico del sector cultural y creativoy caracterizacion de industrias culturales y creativas (cicc), se encuentren corretos y aptos para cualquier consulta ciudadana en el micrositio.
</t>
  </si>
  <si>
    <t>Si se evidencia alguna falla técnica que impida la disponibilidad de los documentos, solicitar a la Oficina de Comunicaciones la revisión de la pagina WEB o micrositio de DEEP, mediante correo electrónico, y realizar su respectivo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</si>
</sst>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color theme="0"/>
      <name val="Times New Roman"/>
      <family val="1"/>
    </font>
    <font>
      <sz val="10"/>
      <name val="Times New Roman"/>
      <family val="1"/>
    </font>
    <font>
      <sz val="9"/>
      <color indexed="81"/>
      <name val="Tahoma"/>
      <family val="2"/>
    </font>
    <font>
      <b/>
      <sz val="9"/>
      <color indexed="81"/>
      <name val="Tahoma"/>
      <family val="2"/>
    </font>
    <font>
      <b/>
      <sz val="11"/>
      <name val="Calibri"/>
      <family val="2"/>
      <scheme val="minor"/>
    </font>
    <font>
      <sz val="9"/>
      <color rgb="FF000000"/>
      <name val="Arial Narrow"/>
      <family val="2"/>
      <charset val="1"/>
    </font>
    <font>
      <sz val="11"/>
      <name val="Calibri"/>
      <family val="2"/>
    </font>
    <font>
      <sz val="11"/>
      <color rgb="FF000000"/>
      <name val="Calibri"/>
      <family val="2"/>
    </font>
    <font>
      <b/>
      <sz val="9"/>
      <color rgb="FF000000"/>
      <name val="Tahoma"/>
      <family val="2"/>
    </font>
  </fonts>
  <fills count="2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patternFill>
    </fill>
    <fill>
      <patternFill patternType="solid">
        <fgColor rgb="FF242BB9"/>
        <bgColor indexed="64"/>
      </patternFill>
    </fill>
    <fill>
      <patternFill patternType="solid">
        <fgColor indexed="65"/>
        <bgColor indexed="64"/>
      </patternFill>
    </fill>
    <fill>
      <patternFill patternType="solid">
        <fgColor theme="0"/>
        <bgColor rgb="FF008080"/>
      </patternFill>
    </fill>
    <fill>
      <patternFill patternType="solid">
        <fgColor theme="0"/>
        <bgColor rgb="FFBFBFBF"/>
      </patternFill>
    </fill>
    <fill>
      <patternFill patternType="solid">
        <fgColor theme="0"/>
        <bgColor rgb="FFA9D18E"/>
      </patternFill>
    </fill>
    <fill>
      <patternFill patternType="solid">
        <fgColor theme="0"/>
        <bgColor theme="0"/>
      </patternFill>
    </fill>
  </fills>
  <borders count="9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style="dotted">
        <color rgb="FFE36C09"/>
      </right>
      <top/>
      <bottom style="dotted">
        <color rgb="FFE36C09"/>
      </bottom>
      <diagonal/>
    </border>
    <border>
      <left style="dotted">
        <color rgb="FFE36C09"/>
      </left>
      <right style="dotted">
        <color rgb="FFE36C09"/>
      </right>
      <top style="dotted">
        <color rgb="FFE36C09"/>
      </top>
      <bottom style="dotted">
        <color rgb="FFE36C09"/>
      </bottom>
      <diagonal/>
    </border>
  </borders>
  <cellStyleXfs count="6">
    <xf numFmtId="0" fontId="0" fillId="0" borderId="0"/>
    <xf numFmtId="9" fontId="15" fillId="0" borderId="0" applyFont="0" applyFill="0" applyBorder="0" applyAlignment="0" applyProtection="0"/>
    <xf numFmtId="0" fontId="48" fillId="0" borderId="0"/>
    <xf numFmtId="0" fontId="49" fillId="0" borderId="0"/>
    <xf numFmtId="0" fontId="5" fillId="0" borderId="0"/>
    <xf numFmtId="0" fontId="14" fillId="16" borderId="0" applyNumberFormat="0" applyBorder="0" applyAlignment="0" applyProtection="0"/>
  </cellStyleXfs>
  <cellXfs count="42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59" fillId="17" borderId="33" xfId="5" applyFont="1" applyFill="1" applyBorder="1" applyAlignment="1">
      <alignment horizontal="center" vertical="center" wrapText="1"/>
    </xf>
    <xf numFmtId="0" fontId="60" fillId="18" borderId="33" xfId="0" applyFont="1" applyFill="1" applyBorder="1" applyAlignment="1">
      <alignment horizontal="left" vertical="center" wrapText="1"/>
    </xf>
    <xf numFmtId="0" fontId="59" fillId="17" borderId="77" xfId="5" applyFont="1" applyFill="1" applyBorder="1" applyAlignment="1">
      <alignment vertical="center" wrapText="1"/>
    </xf>
    <xf numFmtId="0" fontId="60" fillId="3" borderId="33" xfId="0" applyFont="1" applyFill="1" applyBorder="1" applyAlignment="1">
      <alignment horizontal="left" vertical="center" wrapText="1"/>
    </xf>
    <xf numFmtId="0" fontId="0" fillId="0" borderId="0" xfId="0" applyAlignment="1">
      <alignment horizontal="left"/>
    </xf>
    <xf numFmtId="0" fontId="0" fillId="0" borderId="0" xfId="0" applyAlignment="1">
      <alignment horizontal="left" indent="1"/>
    </xf>
    <xf numFmtId="0" fontId="63" fillId="0" borderId="0" xfId="0" applyFont="1"/>
    <xf numFmtId="0" fontId="60" fillId="18" borderId="76" xfId="0" applyFont="1" applyFill="1" applyBorder="1" applyAlignment="1">
      <alignment horizontal="left" vertical="center" wrapText="1"/>
    </xf>
    <xf numFmtId="0" fontId="0" fillId="3" borderId="33" xfId="0" applyFill="1" applyBorder="1"/>
    <xf numFmtId="0" fontId="64" fillId="19" borderId="79" xfId="4" applyFont="1" applyFill="1" applyBorder="1" applyAlignment="1">
      <alignment vertical="center" wrapText="1"/>
    </xf>
    <xf numFmtId="0" fontId="64" fillId="19" borderId="80" xfId="4" applyFont="1" applyFill="1" applyBorder="1" applyAlignment="1">
      <alignment vertical="center" wrapText="1"/>
    </xf>
    <xf numFmtId="0" fontId="64" fillId="3" borderId="80" xfId="4" applyFont="1" applyFill="1" applyBorder="1" applyAlignment="1">
      <alignment vertical="center" wrapText="1"/>
    </xf>
    <xf numFmtId="0" fontId="64" fillId="3" borderId="81" xfId="4" applyFont="1" applyFill="1" applyBorder="1" applyAlignment="1">
      <alignment vertical="center" wrapText="1"/>
    </xf>
    <xf numFmtId="0" fontId="64" fillId="20" borderId="80" xfId="4" applyFont="1" applyFill="1" applyBorder="1" applyAlignment="1">
      <alignment vertical="center" wrapText="1"/>
    </xf>
    <xf numFmtId="0" fontId="64" fillId="21" borderId="82" xfId="4" applyFont="1" applyFill="1" applyBorder="1" applyAlignment="1">
      <alignment vertical="center" wrapText="1"/>
    </xf>
    <xf numFmtId="0" fontId="1" fillId="0" borderId="86" xfId="0" applyFont="1" applyBorder="1" applyAlignment="1">
      <alignment horizontal="center" vertical="top" wrapText="1"/>
    </xf>
    <xf numFmtId="0" fontId="1" fillId="0" borderId="87" xfId="0" applyFont="1" applyBorder="1" applyAlignment="1">
      <alignment horizontal="center" vertical="top" wrapText="1"/>
    </xf>
    <xf numFmtId="0" fontId="1" fillId="0" borderId="88" xfId="0" applyFont="1" applyBorder="1" applyAlignment="1">
      <alignment horizontal="center" vertical="top" wrapText="1"/>
    </xf>
    <xf numFmtId="0" fontId="6" fillId="0" borderId="89" xfId="0" applyFont="1" applyBorder="1" applyAlignment="1">
      <alignment horizontal="left" vertical="top"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8" fillId="22" borderId="83" xfId="0" applyFont="1" applyFill="1" applyBorder="1" applyAlignment="1">
      <alignment horizontal="center" vertical="center"/>
    </xf>
    <xf numFmtId="0" fontId="65" fillId="0" borderId="84" xfId="0" applyFont="1" applyBorder="1"/>
    <xf numFmtId="0" fontId="65" fillId="0" borderId="85" xfId="0" applyFont="1" applyBorder="1"/>
    <xf numFmtId="0" fontId="1" fillId="0" borderId="86" xfId="0" applyFont="1" applyBorder="1" applyAlignment="1">
      <alignment horizontal="center" vertical="top" wrapText="1"/>
    </xf>
    <xf numFmtId="0" fontId="65" fillId="0" borderId="87" xfId="0" applyFont="1" applyBorder="1"/>
    <xf numFmtId="0" fontId="65" fillId="0" borderId="88" xfId="0" applyFont="1" applyBorder="1"/>
    <xf numFmtId="0" fontId="1" fillId="0" borderId="86" xfId="0" applyFont="1" applyBorder="1" applyAlignment="1">
      <alignment horizontal="center" vertical="top"/>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8" fillId="22" borderId="83" xfId="0" applyFont="1" applyFill="1" applyBorder="1" applyAlignment="1">
      <alignment horizontal="left"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22" borderId="83" xfId="0" applyFont="1" applyFill="1" applyBorder="1" applyAlignment="1">
      <alignment horizontal="left" vertical="center" wrapText="1"/>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3" borderId="0" xfId="0" applyFont="1" applyFill="1" applyBorder="1" applyAlignment="1">
      <alignment horizontal="left"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59" fillId="17" borderId="77" xfId="5" applyFont="1" applyFill="1" applyBorder="1" applyAlignment="1">
      <alignment horizontal="center" vertical="center" wrapText="1"/>
    </xf>
    <xf numFmtId="0" fontId="59" fillId="17" borderId="78" xfId="5" applyFont="1" applyFill="1" applyBorder="1" applyAlignment="1">
      <alignment horizontal="center" vertical="center" wrapText="1"/>
    </xf>
    <xf numFmtId="0" fontId="60" fillId="3" borderId="75" xfId="0" applyFont="1" applyFill="1" applyBorder="1" applyAlignment="1">
      <alignment horizontal="center" vertical="center" wrapText="1"/>
    </xf>
    <xf numFmtId="0" fontId="60" fillId="3" borderId="76" xfId="0" applyFont="1" applyFill="1" applyBorder="1" applyAlignment="1">
      <alignment horizontal="center" vertical="center" wrapText="1"/>
    </xf>
    <xf numFmtId="0" fontId="60" fillId="3" borderId="34" xfId="0" applyFont="1" applyFill="1" applyBorder="1" applyAlignment="1">
      <alignment horizontal="center" vertical="center" wrapText="1"/>
    </xf>
    <xf numFmtId="0" fontId="1" fillId="0" borderId="2" xfId="0" applyFont="1" applyFill="1" applyBorder="1" applyAlignment="1" applyProtection="1">
      <alignment horizontal="justify" vertical="top"/>
      <protection locked="0"/>
    </xf>
    <xf numFmtId="0" fontId="6" fillId="0" borderId="89" xfId="0" applyFont="1" applyFill="1" applyBorder="1" applyAlignment="1">
      <alignment horizontal="left" vertical="top" wrapText="1"/>
    </xf>
  </cellXfs>
  <cellStyles count="6">
    <cellStyle name="Énfasis6" xfId="5" builtinId="49"/>
    <cellStyle name="Normal" xfId="0" builtinId="0"/>
    <cellStyle name="Normal - Style1 2" xfId="2"/>
    <cellStyle name="Normal 2" xfId="4"/>
    <cellStyle name="Normal 2 2" xfId="3"/>
    <cellStyle name="Porcentaje" xfId="1" builtinId="5"/>
  </cellStyles>
  <dxfs count="239">
    <dxf>
      <font>
        <color rgb="FF9C0006"/>
      </font>
      <fill>
        <patternFill>
          <bgColor rgb="FFFFC7CE"/>
        </patternFill>
      </fill>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Ing. Andru" refreshedDate="44719.797894097224" createdVersion="6" refreshedVersion="8"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Ing. Andru" refreshedDate="44719.820464814817" createdVersion="8" refreshedVersion="8" minRefreshableVersion="3" recordCount="7">
  <cacheSource type="worksheet">
    <worksheetSource name="Tabla5"/>
  </cacheSource>
  <cacheFields count="2">
    <cacheField name="Criterios" numFmtId="0">
      <sharedItems count="4">
        <s v="***Riesgos de Seguridad de la Información"/>
        <s v="***Riesgos de Datos Personales"/>
        <s v="Riesgos de Datos Personales" u="1"/>
        <s v="Riesgos de Seguridad de la Información" u="1"/>
      </sharedItems>
    </cacheField>
    <cacheField name="Subcriterios" numFmtId="0">
      <sharedItems count="7">
        <s v="1. Posibilidad de pérdida de Confidencialidad"/>
        <s v="2. Posibilidad de pérdida de Integridad"/>
        <s v="3. Posibilidad de pérdida de Disponibilidad"/>
        <s v="1. Posibilidad de pérdida de confidencialidad, divulgación no autorizada o mal uso de la información de datos personales."/>
        <s v="2. Posibilidad de pérdida de integridad, alteración, o modificación de la Información de datos personales."/>
        <s v="3. Posibilidad de afectación de la disponibilidad de la plataforma tecnológica o aplicativos que gestionan datos personales."/>
        <s v="4. Posibilidad de sanciones por incumplimiento de las directrices o normativas frente al tratamiento de los datos persona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x v="0"/>
  </r>
  <r>
    <x v="0"/>
    <x v="1"/>
  </r>
  <r>
    <x v="0"/>
    <x v="2"/>
  </r>
  <r>
    <x v="1"/>
    <x v="3"/>
  </r>
  <r>
    <x v="1"/>
    <x v="4"/>
  </r>
  <r>
    <x v="1"/>
    <x v="5"/>
  </r>
  <r>
    <x v="1"/>
    <x v="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6"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D228:D238" firstHeaderRow="1" firstDataRow="1" firstDataCol="1"/>
  <pivotFields count="2">
    <pivotField axis="axisRow" showAll="0">
      <items count="5">
        <item m="1" x="2"/>
        <item m="1" x="3"/>
        <item x="0"/>
        <item x="1"/>
        <item t="default"/>
      </items>
    </pivotField>
    <pivotField axis="axisRow" showAll="0">
      <items count="8">
        <item x="0"/>
        <item x="3"/>
        <item x="1"/>
        <item x="4"/>
        <item x="5"/>
        <item x="2"/>
        <item x="6"/>
        <item t="default"/>
      </items>
    </pivotField>
  </pivotFields>
  <rowFields count="2">
    <field x="0"/>
    <field x="1"/>
  </rowFields>
  <rowItems count="10">
    <i>
      <x v="2"/>
    </i>
    <i r="1">
      <x/>
    </i>
    <i r="1">
      <x v="2"/>
    </i>
    <i r="1">
      <x v="5"/>
    </i>
    <i>
      <x v="3"/>
    </i>
    <i r="1">
      <x v="1"/>
    </i>
    <i r="1">
      <x v="3"/>
    </i>
    <i r="1">
      <x v="4"/>
    </i>
    <i r="1">
      <x v="6"/>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8"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7" dataDxfId="6">
  <autoFilter ref="B209:C219"/>
  <tableColumns count="2">
    <tableColumn id="1" name="Criterios" dataDxfId="5"/>
    <tableColumn id="2" name="Subcriterios" dataDxfId="4"/>
  </tableColumns>
  <tableStyleInfo name="TableStyleMedium2" showFirstColumn="0" showLastColumn="0" showRowStripes="1" showColumnStripes="0"/>
</table>
</file>

<file path=xl/tables/table2.xml><?xml version="1.0" encoding="utf-8"?>
<table xmlns="http://schemas.openxmlformats.org/spreadsheetml/2006/main" id="5" name="Tabla5" displayName="Tabla5" ref="B228:C235" totalsRowShown="0" dataDxfId="3">
  <autoFilter ref="B228:C235"/>
  <tableColumns count="2">
    <tableColumn id="1" name="Criterios" dataDxfId="2"/>
    <tableColumn id="2" name="Subcriterios" dataDxfId="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2.xml"/><Relationship Id="rId4"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8"/>
  <sheetViews>
    <sheetView zoomScale="110" zoomScaleNormal="110" workbookViewId="0">
      <selection activeCell="B44" sqref="B44:H44"/>
    </sheetView>
  </sheetViews>
  <sheetFormatPr baseColWidth="10" defaultColWidth="11.44140625" defaultRowHeight="14.4" x14ac:dyDescent="0.3"/>
  <cols>
    <col min="1" max="1" width="2.77734375" style="84" customWidth="1"/>
    <col min="2" max="3" width="24.6640625" style="84" customWidth="1"/>
    <col min="4" max="4" width="16" style="84" customWidth="1"/>
    <col min="5" max="5" width="24.6640625" style="84" customWidth="1"/>
    <col min="6" max="6" width="27.6640625" style="84" customWidth="1"/>
    <col min="7" max="8" width="24.6640625" style="84" customWidth="1"/>
    <col min="9" max="16384" width="11.44140625" style="84"/>
  </cols>
  <sheetData>
    <row r="1" spans="2:8" ht="15" thickBot="1" x14ac:dyDescent="0.35"/>
    <row r="2" spans="2:8" ht="18" x14ac:dyDescent="0.3">
      <c r="B2" s="167" t="s">
        <v>149</v>
      </c>
      <c r="C2" s="168"/>
      <c r="D2" s="168"/>
      <c r="E2" s="168"/>
      <c r="F2" s="168"/>
      <c r="G2" s="168"/>
      <c r="H2" s="169"/>
    </row>
    <row r="3" spans="2:8" x14ac:dyDescent="0.3">
      <c r="B3" s="85"/>
      <c r="C3" s="86"/>
      <c r="D3" s="86"/>
      <c r="E3" s="86"/>
      <c r="F3" s="86"/>
      <c r="G3" s="86"/>
      <c r="H3" s="87"/>
    </row>
    <row r="4" spans="2:8" ht="63" customHeight="1" x14ac:dyDescent="0.3">
      <c r="B4" s="170" t="s">
        <v>173</v>
      </c>
      <c r="C4" s="171"/>
      <c r="D4" s="171"/>
      <c r="E4" s="171"/>
      <c r="F4" s="171"/>
      <c r="G4" s="171"/>
      <c r="H4" s="172"/>
    </row>
    <row r="5" spans="2:8" ht="63" customHeight="1" x14ac:dyDescent="0.3">
      <c r="B5" s="173"/>
      <c r="C5" s="174"/>
      <c r="D5" s="174"/>
      <c r="E5" s="174"/>
      <c r="F5" s="174"/>
      <c r="G5" s="174"/>
      <c r="H5" s="175"/>
    </row>
    <row r="6" spans="2:8" x14ac:dyDescent="0.3">
      <c r="B6" s="176" t="s">
        <v>147</v>
      </c>
      <c r="C6" s="177"/>
      <c r="D6" s="177"/>
      <c r="E6" s="177"/>
      <c r="F6" s="177"/>
      <c r="G6" s="177"/>
      <c r="H6" s="178"/>
    </row>
    <row r="7" spans="2:8" ht="95.25" customHeight="1" x14ac:dyDescent="0.3">
      <c r="B7" s="186" t="s">
        <v>151</v>
      </c>
      <c r="C7" s="187"/>
      <c r="D7" s="187"/>
      <c r="E7" s="187"/>
      <c r="F7" s="187"/>
      <c r="G7" s="187"/>
      <c r="H7" s="188"/>
    </row>
    <row r="8" spans="2:8" x14ac:dyDescent="0.3">
      <c r="B8" s="122"/>
      <c r="C8" s="123"/>
      <c r="D8" s="123"/>
      <c r="E8" s="123"/>
      <c r="F8" s="123"/>
      <c r="G8" s="123"/>
      <c r="H8" s="124"/>
    </row>
    <row r="9" spans="2:8" ht="16.5" customHeight="1" x14ac:dyDescent="0.3">
      <c r="B9" s="179" t="s">
        <v>166</v>
      </c>
      <c r="C9" s="180"/>
      <c r="D9" s="180"/>
      <c r="E9" s="180"/>
      <c r="F9" s="180"/>
      <c r="G9" s="180"/>
      <c r="H9" s="181"/>
    </row>
    <row r="10" spans="2:8" ht="44.25" customHeight="1" x14ac:dyDescent="0.3">
      <c r="B10" s="179"/>
      <c r="C10" s="180"/>
      <c r="D10" s="180"/>
      <c r="E10" s="180"/>
      <c r="F10" s="180"/>
      <c r="G10" s="180"/>
      <c r="H10" s="181"/>
    </row>
    <row r="11" spans="2:8" ht="15" thickBot="1" x14ac:dyDescent="0.35">
      <c r="B11" s="110"/>
      <c r="C11" s="113"/>
      <c r="D11" s="118"/>
      <c r="E11" s="119"/>
      <c r="F11" s="119"/>
      <c r="G11" s="120"/>
      <c r="H11" s="121"/>
    </row>
    <row r="12" spans="2:8" ht="15" thickTop="1" x14ac:dyDescent="0.3">
      <c r="B12" s="110"/>
      <c r="C12" s="182" t="s">
        <v>148</v>
      </c>
      <c r="D12" s="183"/>
      <c r="E12" s="184" t="s">
        <v>167</v>
      </c>
      <c r="F12" s="185"/>
      <c r="G12" s="113"/>
      <c r="H12" s="114"/>
    </row>
    <row r="13" spans="2:8" ht="35.25" customHeight="1" x14ac:dyDescent="0.3">
      <c r="B13" s="110"/>
      <c r="C13" s="189" t="s">
        <v>163</v>
      </c>
      <c r="D13" s="190"/>
      <c r="E13" s="191" t="s">
        <v>220</v>
      </c>
      <c r="F13" s="192"/>
      <c r="G13" s="113"/>
      <c r="H13" s="114"/>
    </row>
    <row r="14" spans="2:8" ht="35.25" customHeight="1" x14ac:dyDescent="0.3">
      <c r="B14" s="110"/>
      <c r="C14" s="189" t="s">
        <v>219</v>
      </c>
      <c r="D14" s="190"/>
      <c r="E14" s="191" t="s">
        <v>221</v>
      </c>
      <c r="F14" s="192"/>
      <c r="G14" s="113"/>
      <c r="H14" s="114"/>
    </row>
    <row r="15" spans="2:8" ht="25.8" customHeight="1" x14ac:dyDescent="0.3">
      <c r="B15" s="110"/>
      <c r="C15" s="189" t="s">
        <v>164</v>
      </c>
      <c r="D15" s="190"/>
      <c r="E15" s="191" t="s">
        <v>222</v>
      </c>
      <c r="F15" s="192"/>
      <c r="G15" s="113"/>
      <c r="H15" s="114"/>
    </row>
    <row r="16" spans="2:8" ht="25.2" customHeight="1" x14ac:dyDescent="0.3">
      <c r="B16" s="110"/>
      <c r="C16" s="189" t="s">
        <v>165</v>
      </c>
      <c r="D16" s="190"/>
      <c r="E16" s="191" t="s">
        <v>223</v>
      </c>
      <c r="F16" s="192"/>
      <c r="G16" s="113"/>
      <c r="H16" s="114"/>
    </row>
    <row r="17" spans="2:8" ht="21" customHeight="1" x14ac:dyDescent="0.3">
      <c r="B17" s="110"/>
      <c r="C17" s="189" t="s">
        <v>150</v>
      </c>
      <c r="D17" s="190"/>
      <c r="E17" s="191" t="s">
        <v>224</v>
      </c>
      <c r="F17" s="192"/>
      <c r="G17" s="113"/>
      <c r="H17" s="114"/>
    </row>
    <row r="18" spans="2:8" ht="83.55" customHeight="1" x14ac:dyDescent="0.3">
      <c r="B18" s="110"/>
      <c r="C18" s="163" t="s">
        <v>184</v>
      </c>
      <c r="D18" s="164"/>
      <c r="E18" s="165" t="s">
        <v>225</v>
      </c>
      <c r="F18" s="166"/>
      <c r="G18" s="113"/>
      <c r="H18" s="114"/>
    </row>
    <row r="19" spans="2:8" ht="34.5" customHeight="1" x14ac:dyDescent="0.3">
      <c r="B19" s="110"/>
      <c r="C19" s="163" t="s">
        <v>2</v>
      </c>
      <c r="D19" s="164"/>
      <c r="E19" s="165" t="s">
        <v>226</v>
      </c>
      <c r="F19" s="166"/>
      <c r="G19" s="113"/>
      <c r="H19" s="114"/>
    </row>
    <row r="20" spans="2:8" ht="87" customHeight="1" x14ac:dyDescent="0.3">
      <c r="B20" s="110"/>
      <c r="C20" s="193" t="s">
        <v>181</v>
      </c>
      <c r="D20" s="194"/>
      <c r="E20" s="165" t="s">
        <v>227</v>
      </c>
      <c r="F20" s="166"/>
      <c r="G20" s="113"/>
      <c r="H20" s="114"/>
    </row>
    <row r="21" spans="2:8" ht="103.2" customHeight="1" x14ac:dyDescent="0.3">
      <c r="B21" s="110"/>
      <c r="C21" s="193" t="s">
        <v>182</v>
      </c>
      <c r="D21" s="194"/>
      <c r="E21" s="165" t="s">
        <v>228</v>
      </c>
      <c r="F21" s="166"/>
      <c r="G21" s="113"/>
      <c r="H21" s="114"/>
    </row>
    <row r="22" spans="2:8" ht="72.75" customHeight="1" x14ac:dyDescent="0.3">
      <c r="B22" s="110"/>
      <c r="C22" s="193" t="s">
        <v>192</v>
      </c>
      <c r="D22" s="194"/>
      <c r="E22" s="165" t="s">
        <v>229</v>
      </c>
      <c r="F22" s="166"/>
      <c r="G22" s="113"/>
      <c r="H22" s="114"/>
    </row>
    <row r="23" spans="2:8" ht="72.75" customHeight="1" x14ac:dyDescent="0.3">
      <c r="B23" s="110"/>
      <c r="C23" s="193" t="s">
        <v>1</v>
      </c>
      <c r="D23" s="194"/>
      <c r="E23" s="165" t="s">
        <v>230</v>
      </c>
      <c r="F23" s="166"/>
      <c r="G23" s="113"/>
      <c r="H23" s="114"/>
    </row>
    <row r="24" spans="2:8" ht="102.45" customHeight="1" x14ac:dyDescent="0.3">
      <c r="B24" s="110"/>
      <c r="C24" s="193" t="s">
        <v>48</v>
      </c>
      <c r="D24" s="194"/>
      <c r="E24" s="165" t="s">
        <v>231</v>
      </c>
      <c r="F24" s="166"/>
      <c r="G24" s="113"/>
      <c r="H24" s="114"/>
    </row>
    <row r="25" spans="2:8" ht="106.2" customHeight="1" x14ac:dyDescent="0.3">
      <c r="B25" s="110"/>
      <c r="C25" s="193" t="s">
        <v>152</v>
      </c>
      <c r="D25" s="194"/>
      <c r="E25" s="165" t="s">
        <v>232</v>
      </c>
      <c r="F25" s="166"/>
      <c r="G25" s="113"/>
      <c r="H25" s="114"/>
    </row>
    <row r="26" spans="2:8" ht="87" customHeight="1" x14ac:dyDescent="0.3">
      <c r="B26" s="110"/>
      <c r="C26" s="163" t="s">
        <v>153</v>
      </c>
      <c r="D26" s="164"/>
      <c r="E26" s="165" t="s">
        <v>233</v>
      </c>
      <c r="F26" s="166"/>
      <c r="G26" s="113"/>
      <c r="H26" s="114"/>
    </row>
    <row r="27" spans="2:8" ht="42" customHeight="1" x14ac:dyDescent="0.3">
      <c r="B27" s="110"/>
      <c r="C27" s="163" t="s">
        <v>46</v>
      </c>
      <c r="D27" s="164"/>
      <c r="E27" s="165" t="s">
        <v>154</v>
      </c>
      <c r="F27" s="166"/>
      <c r="G27" s="113"/>
      <c r="H27" s="114"/>
    </row>
    <row r="28" spans="2:8" ht="30.45" customHeight="1" x14ac:dyDescent="0.3">
      <c r="B28" s="110"/>
      <c r="C28" s="163" t="s">
        <v>10</v>
      </c>
      <c r="D28" s="164"/>
      <c r="E28" s="165" t="s">
        <v>234</v>
      </c>
      <c r="F28" s="166"/>
      <c r="G28" s="113"/>
      <c r="H28" s="114"/>
    </row>
    <row r="29" spans="2:8" ht="59.25" customHeight="1" x14ac:dyDescent="0.3">
      <c r="B29" s="110"/>
      <c r="C29" s="163" t="s">
        <v>146</v>
      </c>
      <c r="D29" s="164"/>
      <c r="E29" s="165" t="s">
        <v>155</v>
      </c>
      <c r="F29" s="166"/>
      <c r="G29" s="113"/>
      <c r="H29" s="114"/>
    </row>
    <row r="30" spans="2:8" ht="27.45" customHeight="1" x14ac:dyDescent="0.3">
      <c r="B30" s="110"/>
      <c r="C30" s="163" t="s">
        <v>11</v>
      </c>
      <c r="D30" s="164"/>
      <c r="E30" s="165" t="s">
        <v>235</v>
      </c>
      <c r="F30" s="166"/>
      <c r="G30" s="113"/>
      <c r="H30" s="114"/>
    </row>
    <row r="31" spans="2:8" ht="41.55" customHeight="1" x14ac:dyDescent="0.3">
      <c r="B31" s="110"/>
      <c r="C31" s="163" t="s">
        <v>156</v>
      </c>
      <c r="D31" s="164"/>
      <c r="E31" s="165" t="s">
        <v>236</v>
      </c>
      <c r="F31" s="166"/>
      <c r="G31" s="113"/>
      <c r="H31" s="114"/>
    </row>
    <row r="32" spans="2:8" ht="35.25" customHeight="1" x14ac:dyDescent="0.3">
      <c r="B32" s="110"/>
      <c r="C32" s="163" t="s">
        <v>157</v>
      </c>
      <c r="D32" s="164"/>
      <c r="E32" s="165" t="s">
        <v>237</v>
      </c>
      <c r="F32" s="166"/>
      <c r="G32" s="113"/>
      <c r="H32" s="114"/>
    </row>
    <row r="33" spans="2:8" ht="30" customHeight="1" x14ac:dyDescent="0.3">
      <c r="B33" s="110"/>
      <c r="C33" s="163" t="s">
        <v>158</v>
      </c>
      <c r="D33" s="164"/>
      <c r="E33" s="165" t="s">
        <v>238</v>
      </c>
      <c r="F33" s="166"/>
      <c r="G33" s="113"/>
      <c r="H33" s="114"/>
    </row>
    <row r="34" spans="2:8" ht="35.25" customHeight="1" x14ac:dyDescent="0.3">
      <c r="B34" s="110"/>
      <c r="C34" s="163" t="s">
        <v>159</v>
      </c>
      <c r="D34" s="164"/>
      <c r="E34" s="165" t="s">
        <v>239</v>
      </c>
      <c r="F34" s="166"/>
      <c r="G34" s="113"/>
      <c r="H34" s="114"/>
    </row>
    <row r="35" spans="2:8" ht="31.5" customHeight="1" x14ac:dyDescent="0.3">
      <c r="B35" s="110"/>
      <c r="C35" s="163" t="s">
        <v>160</v>
      </c>
      <c r="D35" s="164"/>
      <c r="E35" s="165" t="s">
        <v>240</v>
      </c>
      <c r="F35" s="166"/>
      <c r="G35" s="113"/>
      <c r="H35" s="114"/>
    </row>
    <row r="36" spans="2:8" ht="35.25" customHeight="1" x14ac:dyDescent="0.3">
      <c r="B36" s="110"/>
      <c r="C36" s="163" t="s">
        <v>161</v>
      </c>
      <c r="D36" s="164"/>
      <c r="E36" s="165" t="s">
        <v>241</v>
      </c>
      <c r="F36" s="166"/>
      <c r="G36" s="113"/>
      <c r="H36" s="114"/>
    </row>
    <row r="37" spans="2:8" ht="101.55" customHeight="1" x14ac:dyDescent="0.3">
      <c r="B37" s="110"/>
      <c r="C37" s="163" t="s">
        <v>242</v>
      </c>
      <c r="D37" s="164"/>
      <c r="E37" s="165" t="s">
        <v>243</v>
      </c>
      <c r="F37" s="166"/>
      <c r="G37" s="113"/>
      <c r="H37" s="114"/>
    </row>
    <row r="38" spans="2:8" ht="29.25" customHeight="1" x14ac:dyDescent="0.3">
      <c r="B38" s="110"/>
      <c r="C38" s="163" t="s">
        <v>28</v>
      </c>
      <c r="D38" s="164"/>
      <c r="E38" s="165" t="s">
        <v>244</v>
      </c>
      <c r="F38" s="166"/>
      <c r="G38" s="113"/>
      <c r="H38" s="114"/>
    </row>
    <row r="39" spans="2:8" ht="82.5" customHeight="1" x14ac:dyDescent="0.3">
      <c r="B39" s="110"/>
      <c r="C39" s="163" t="s">
        <v>162</v>
      </c>
      <c r="D39" s="164"/>
      <c r="E39" s="165" t="s">
        <v>245</v>
      </c>
      <c r="F39" s="166"/>
      <c r="G39" s="113"/>
      <c r="H39" s="114"/>
    </row>
    <row r="40" spans="2:8" ht="46.5" customHeight="1" x14ac:dyDescent="0.3">
      <c r="B40" s="110"/>
      <c r="C40" s="163" t="s">
        <v>38</v>
      </c>
      <c r="D40" s="164"/>
      <c r="E40" s="165" t="s">
        <v>246</v>
      </c>
      <c r="F40" s="166"/>
      <c r="G40" s="113"/>
      <c r="H40" s="114"/>
    </row>
    <row r="41" spans="2:8" ht="6.75" customHeight="1" thickBot="1" x14ac:dyDescent="0.35">
      <c r="B41" s="110"/>
      <c r="C41" s="198"/>
      <c r="D41" s="199"/>
      <c r="E41" s="200"/>
      <c r="F41" s="201"/>
      <c r="G41" s="113"/>
      <c r="H41" s="114"/>
    </row>
    <row r="42" spans="2:8" ht="15" thickTop="1" x14ac:dyDescent="0.3">
      <c r="B42" s="110"/>
      <c r="C42" s="111"/>
      <c r="D42" s="111"/>
      <c r="E42" s="112"/>
      <c r="F42" s="112"/>
      <c r="G42" s="113"/>
      <c r="H42" s="114"/>
    </row>
    <row r="43" spans="2:8" ht="21" customHeight="1" x14ac:dyDescent="0.3">
      <c r="B43" s="195" t="s">
        <v>168</v>
      </c>
      <c r="C43" s="196"/>
      <c r="D43" s="196"/>
      <c r="E43" s="196"/>
      <c r="F43" s="196"/>
      <c r="G43" s="196"/>
      <c r="H43" s="197"/>
    </row>
    <row r="44" spans="2:8" ht="20.25" customHeight="1" x14ac:dyDescent="0.3">
      <c r="B44" s="195" t="s">
        <v>169</v>
      </c>
      <c r="C44" s="196"/>
      <c r="D44" s="196"/>
      <c r="E44" s="196"/>
      <c r="F44" s="196"/>
      <c r="G44" s="196"/>
      <c r="H44" s="197"/>
    </row>
    <row r="45" spans="2:8" ht="20.25" customHeight="1" x14ac:dyDescent="0.3">
      <c r="B45" s="195" t="s">
        <v>170</v>
      </c>
      <c r="C45" s="196"/>
      <c r="D45" s="196"/>
      <c r="E45" s="196"/>
      <c r="F45" s="196"/>
      <c r="G45" s="196"/>
      <c r="H45" s="197"/>
    </row>
    <row r="46" spans="2:8" ht="20.25" customHeight="1" x14ac:dyDescent="0.3">
      <c r="B46" s="195" t="s">
        <v>171</v>
      </c>
      <c r="C46" s="196"/>
      <c r="D46" s="196"/>
      <c r="E46" s="196"/>
      <c r="F46" s="196"/>
      <c r="G46" s="196"/>
      <c r="H46" s="197"/>
    </row>
    <row r="47" spans="2:8" x14ac:dyDescent="0.3">
      <c r="B47" s="195" t="s">
        <v>172</v>
      </c>
      <c r="C47" s="196"/>
      <c r="D47" s="196"/>
      <c r="E47" s="196"/>
      <c r="F47" s="196"/>
      <c r="G47" s="196"/>
      <c r="H47" s="197"/>
    </row>
    <row r="48" spans="2:8" ht="15" thickBot="1" x14ac:dyDescent="0.35">
      <c r="B48" s="115"/>
      <c r="C48" s="116"/>
      <c r="D48" s="116"/>
      <c r="E48" s="116"/>
      <c r="F48" s="116"/>
      <c r="G48" s="116"/>
      <c r="H48" s="117"/>
    </row>
  </sheetData>
  <mergeCells count="70">
    <mergeCell ref="E32:F32"/>
    <mergeCell ref="C32:D32"/>
    <mergeCell ref="C17:D17"/>
    <mergeCell ref="E17:F17"/>
    <mergeCell ref="C15:D15"/>
    <mergeCell ref="E15:F15"/>
    <mergeCell ref="C16:D16"/>
    <mergeCell ref="E16:F16"/>
    <mergeCell ref="E25:F25"/>
    <mergeCell ref="C25:D25"/>
    <mergeCell ref="C29:D29"/>
    <mergeCell ref="E29:F29"/>
    <mergeCell ref="C28:D28"/>
    <mergeCell ref="E28:F28"/>
    <mergeCell ref="C24:D24"/>
    <mergeCell ref="C20:D20"/>
    <mergeCell ref="B44:H44"/>
    <mergeCell ref="C41:D41"/>
    <mergeCell ref="E41:F41"/>
    <mergeCell ref="C40:D40"/>
    <mergeCell ref="E40:F40"/>
    <mergeCell ref="C36:D36"/>
    <mergeCell ref="B43:H43"/>
    <mergeCell ref="C33:D33"/>
    <mergeCell ref="E33:F33"/>
    <mergeCell ref="E36:F36"/>
    <mergeCell ref="C37:D37"/>
    <mergeCell ref="C38:D38"/>
    <mergeCell ref="E38:F38"/>
    <mergeCell ref="C39:D39"/>
    <mergeCell ref="E39:F39"/>
    <mergeCell ref="B45:H45"/>
    <mergeCell ref="B46:H46"/>
    <mergeCell ref="B47:H47"/>
    <mergeCell ref="E26:F26"/>
    <mergeCell ref="C26:D26"/>
    <mergeCell ref="C27:D27"/>
    <mergeCell ref="E27:F27"/>
    <mergeCell ref="C30:D30"/>
    <mergeCell ref="E30:F30"/>
    <mergeCell ref="E37:F37"/>
    <mergeCell ref="C35:D35"/>
    <mergeCell ref="C34:D34"/>
    <mergeCell ref="E34:F34"/>
    <mergeCell ref="E35:F35"/>
    <mergeCell ref="C31:D31"/>
    <mergeCell ref="E31:F31"/>
    <mergeCell ref="C14:D14"/>
    <mergeCell ref="E14:F14"/>
    <mergeCell ref="C21:D21"/>
    <mergeCell ref="C23:D23"/>
    <mergeCell ref="E20:F20"/>
    <mergeCell ref="E21:F21"/>
    <mergeCell ref="E23:F23"/>
    <mergeCell ref="C19:D19"/>
    <mergeCell ref="E19:F19"/>
    <mergeCell ref="E24:F24"/>
    <mergeCell ref="B2:H2"/>
    <mergeCell ref="B4:H5"/>
    <mergeCell ref="B6:H6"/>
    <mergeCell ref="B9:H10"/>
    <mergeCell ref="C12:D12"/>
    <mergeCell ref="E12:F12"/>
    <mergeCell ref="B7:H7"/>
    <mergeCell ref="C13:D13"/>
    <mergeCell ref="E13:F13"/>
    <mergeCell ref="C18:D18"/>
    <mergeCell ref="E18:F18"/>
    <mergeCell ref="C22:D22"/>
    <mergeCell ref="E22:F2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4140625" defaultRowHeight="13.8" x14ac:dyDescent="0.3"/>
  <cols>
    <col min="1" max="1" width="32.77734375" style="9" customWidth="1"/>
    <col min="2" max="16384" width="11.44140625" style="9"/>
  </cols>
  <sheetData>
    <row r="3" spans="1:1" x14ac:dyDescent="0.3">
      <c r="A3" s="10" t="s">
        <v>13</v>
      </c>
    </row>
    <row r="4" spans="1:1" x14ac:dyDescent="0.3">
      <c r="A4" s="10" t="s">
        <v>14</v>
      </c>
    </row>
    <row r="5" spans="1:1" x14ac:dyDescent="0.3">
      <c r="A5" s="10" t="s">
        <v>15</v>
      </c>
    </row>
    <row r="6" spans="1:1" x14ac:dyDescent="0.3">
      <c r="A6" s="10" t="s">
        <v>9</v>
      </c>
    </row>
    <row r="7" spans="1:1" x14ac:dyDescent="0.3">
      <c r="A7" s="10" t="s">
        <v>8</v>
      </c>
    </row>
    <row r="8" spans="1:1" x14ac:dyDescent="0.3">
      <c r="A8" s="10" t="s">
        <v>18</v>
      </c>
    </row>
    <row r="9" spans="1:1" x14ac:dyDescent="0.3">
      <c r="A9" s="10" t="s">
        <v>19</v>
      </c>
    </row>
    <row r="10" spans="1:1" x14ac:dyDescent="0.3">
      <c r="A10" s="10" t="s">
        <v>21</v>
      </c>
    </row>
    <row r="11" spans="1:1" x14ac:dyDescent="0.3">
      <c r="A11" s="10" t="s">
        <v>22</v>
      </c>
    </row>
    <row r="12" spans="1:1" x14ac:dyDescent="0.3">
      <c r="A12" s="10" t="s">
        <v>24</v>
      </c>
    </row>
    <row r="13" spans="1:1" x14ac:dyDescent="0.3">
      <c r="A13" s="10" t="s">
        <v>25</v>
      </c>
    </row>
    <row r="14" spans="1:1" x14ac:dyDescent="0.3">
      <c r="A14" s="10" t="s">
        <v>26</v>
      </c>
    </row>
    <row r="16" spans="1:1" x14ac:dyDescent="0.3">
      <c r="A16" s="10" t="s">
        <v>29</v>
      </c>
    </row>
    <row r="17" spans="1:1" x14ac:dyDescent="0.3">
      <c r="A17" s="10" t="s">
        <v>30</v>
      </c>
    </row>
    <row r="18" spans="1:1" x14ac:dyDescent="0.3">
      <c r="A18" s="10" t="s">
        <v>31</v>
      </c>
    </row>
    <row r="20" spans="1:1" x14ac:dyDescent="0.3">
      <c r="A20" s="10" t="s">
        <v>39</v>
      </c>
    </row>
    <row r="21" spans="1:1" x14ac:dyDescent="0.3">
      <c r="A21" s="10"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R73"/>
  <sheetViews>
    <sheetView tabSelected="1" topLeftCell="A19" zoomScale="60" zoomScaleNormal="60" workbookViewId="0">
      <selection activeCell="A23" sqref="A23:A28"/>
    </sheetView>
  </sheetViews>
  <sheetFormatPr baseColWidth="10" defaultColWidth="11.44140625" defaultRowHeight="13.8" x14ac:dyDescent="0.25"/>
  <cols>
    <col min="1" max="1" width="4" style="2" bestFit="1" customWidth="1"/>
    <col min="2" max="2" width="27.33203125" style="2" customWidth="1"/>
    <col min="3" max="4" width="36.109375" style="2" customWidth="1"/>
    <col min="5" max="5" width="32.44140625" style="1" customWidth="1"/>
    <col min="6" max="7" width="36.109375" style="2" customWidth="1"/>
    <col min="8" max="8" width="19" style="5" customWidth="1"/>
    <col min="9" max="9" width="17.77734375" style="1" customWidth="1"/>
    <col min="10" max="10" width="16.44140625" style="1" customWidth="1"/>
    <col min="11" max="11" width="6.33203125" style="1" bestFit="1" customWidth="1"/>
    <col min="12" max="12" width="27.33203125" style="1" bestFit="1" customWidth="1"/>
    <col min="13" max="13" width="30.44140625" style="1" hidden="1" customWidth="1"/>
    <col min="14" max="14" width="17.44140625" style="1" customWidth="1"/>
    <col min="15" max="15" width="6.33203125" style="1" bestFit="1" customWidth="1"/>
    <col min="16" max="16" width="16" style="1" customWidth="1"/>
    <col min="17" max="17" width="5.77734375" style="1" customWidth="1"/>
    <col min="18" max="18" width="31" style="1" customWidth="1"/>
    <col min="19" max="19" width="15.109375" style="1" bestFit="1" customWidth="1"/>
    <col min="20" max="20" width="6.77734375" style="1" customWidth="1"/>
    <col min="21" max="21" width="5" style="1" customWidth="1"/>
    <col min="22" max="22" width="5.44140625" style="1" customWidth="1"/>
    <col min="23" max="23" width="7.109375" style="1" customWidth="1"/>
    <col min="24" max="24" width="6.6640625" style="1" customWidth="1"/>
    <col min="25" max="25" width="7.44140625" style="1" customWidth="1"/>
    <col min="26" max="26" width="38.33203125" style="1" customWidth="1"/>
    <col min="27" max="27" width="8.6640625" style="1" customWidth="1"/>
    <col min="28" max="28" width="10.44140625" style="1" customWidth="1"/>
    <col min="29" max="29" width="9.33203125" style="1" customWidth="1"/>
    <col min="30" max="30" width="9.109375" style="1" customWidth="1"/>
    <col min="31" max="31" width="8.44140625" style="1" customWidth="1"/>
    <col min="32" max="32" width="7.33203125" style="1" customWidth="1"/>
    <col min="33" max="33" width="23" style="1" customWidth="1"/>
    <col min="34" max="34" width="18.77734375" style="1" customWidth="1"/>
    <col min="35" max="35" width="16.77734375" style="1" customWidth="1"/>
    <col min="36" max="36" width="14.77734375" style="1" customWidth="1"/>
    <col min="37" max="37" width="18.44140625" style="1" customWidth="1"/>
    <col min="38" max="38" width="21" style="1" customWidth="1"/>
    <col min="39" max="16384" width="11.44140625" style="1"/>
  </cols>
  <sheetData>
    <row r="1" spans="1:70" ht="16.5" customHeight="1" x14ac:dyDescent="0.25">
      <c r="A1" s="252" t="s">
        <v>127</v>
      </c>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c r="AH1" s="253"/>
      <c r="AI1" s="253"/>
      <c r="AJ1" s="253"/>
      <c r="AK1" s="253"/>
      <c r="AL1" s="254"/>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25">
      <c r="A2" s="255"/>
      <c r="B2" s="256"/>
      <c r="C2" s="256"/>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7"/>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25">
      <c r="A3" s="28"/>
      <c r="B3" s="29"/>
      <c r="C3" s="28"/>
      <c r="D3" s="28"/>
      <c r="E3" s="8"/>
      <c r="F3" s="28"/>
      <c r="G3" s="2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27" t="s">
        <v>41</v>
      </c>
      <c r="B4" s="228"/>
      <c r="C4" s="202" t="s">
        <v>274</v>
      </c>
      <c r="D4" s="203"/>
      <c r="E4" s="203"/>
      <c r="F4" s="203"/>
      <c r="G4" s="203"/>
      <c r="H4" s="203"/>
      <c r="I4" s="203"/>
      <c r="J4" s="203"/>
      <c r="K4" s="203"/>
      <c r="L4" s="203"/>
      <c r="M4" s="203"/>
      <c r="N4" s="203"/>
      <c r="O4" s="203"/>
      <c r="P4" s="204"/>
      <c r="Q4" s="249"/>
      <c r="R4" s="249"/>
      <c r="S4" s="249"/>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26.25" customHeight="1" x14ac:dyDescent="0.3">
      <c r="A5" s="227" t="s">
        <v>174</v>
      </c>
      <c r="B5" s="228"/>
      <c r="C5" s="229" t="s">
        <v>256</v>
      </c>
      <c r="D5" s="203"/>
      <c r="E5" s="203"/>
      <c r="F5" s="203"/>
      <c r="G5" s="203"/>
      <c r="H5" s="203"/>
      <c r="I5" s="203"/>
      <c r="J5" s="203"/>
      <c r="K5" s="203"/>
      <c r="L5" s="203"/>
      <c r="M5" s="203"/>
      <c r="N5" s="203"/>
      <c r="O5" s="203"/>
      <c r="P5" s="204"/>
      <c r="Q5" s="249"/>
      <c r="R5" s="249"/>
      <c r="S5" s="249"/>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30" customHeight="1" x14ac:dyDescent="0.3">
      <c r="A6" s="227" t="s">
        <v>115</v>
      </c>
      <c r="B6" s="228"/>
      <c r="C6" s="232" t="s">
        <v>286</v>
      </c>
      <c r="D6" s="203"/>
      <c r="E6" s="203"/>
      <c r="F6" s="203"/>
      <c r="G6" s="203"/>
      <c r="H6" s="203"/>
      <c r="I6" s="203"/>
      <c r="J6" s="203"/>
      <c r="K6" s="203"/>
      <c r="L6" s="203"/>
      <c r="M6" s="203"/>
      <c r="N6" s="203"/>
      <c r="O6" s="203"/>
      <c r="P6" s="204"/>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ht="49.5" customHeight="1" x14ac:dyDescent="0.3">
      <c r="A7" s="227" t="s">
        <v>42</v>
      </c>
      <c r="B7" s="228"/>
      <c r="C7" s="232" t="s">
        <v>287</v>
      </c>
      <c r="D7" s="203"/>
      <c r="E7" s="203"/>
      <c r="F7" s="203"/>
      <c r="G7" s="203"/>
      <c r="H7" s="203"/>
      <c r="I7" s="203"/>
      <c r="J7" s="203"/>
      <c r="K7" s="203"/>
      <c r="L7" s="203"/>
      <c r="M7" s="203"/>
      <c r="N7" s="203"/>
      <c r="O7" s="203"/>
      <c r="P7" s="204"/>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x14ac:dyDescent="0.25">
      <c r="A8" s="258" t="s">
        <v>123</v>
      </c>
      <c r="B8" s="259"/>
      <c r="C8" s="259"/>
      <c r="D8" s="259"/>
      <c r="E8" s="259"/>
      <c r="F8" s="259"/>
      <c r="G8" s="259"/>
      <c r="H8" s="259"/>
      <c r="I8" s="260"/>
      <c r="J8" s="258" t="s">
        <v>124</v>
      </c>
      <c r="K8" s="259"/>
      <c r="L8" s="259"/>
      <c r="M8" s="259"/>
      <c r="N8" s="259"/>
      <c r="O8" s="259"/>
      <c r="P8" s="260"/>
      <c r="Q8" s="258" t="s">
        <v>125</v>
      </c>
      <c r="R8" s="259"/>
      <c r="S8" s="259"/>
      <c r="T8" s="259"/>
      <c r="U8" s="259"/>
      <c r="V8" s="259"/>
      <c r="W8" s="259"/>
      <c r="X8" s="259"/>
      <c r="Y8" s="260"/>
      <c r="Z8" s="258" t="s">
        <v>126</v>
      </c>
      <c r="AA8" s="259"/>
      <c r="AB8" s="259"/>
      <c r="AC8" s="259"/>
      <c r="AD8" s="259"/>
      <c r="AE8" s="259"/>
      <c r="AF8" s="260"/>
      <c r="AG8" s="258" t="s">
        <v>33</v>
      </c>
      <c r="AH8" s="259"/>
      <c r="AI8" s="259"/>
      <c r="AJ8" s="259"/>
      <c r="AK8" s="259"/>
      <c r="AL8" s="260"/>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ht="16.5" customHeight="1" x14ac:dyDescent="0.25">
      <c r="A9" s="261" t="s">
        <v>0</v>
      </c>
      <c r="B9" s="235" t="s">
        <v>183</v>
      </c>
      <c r="C9" s="251" t="s">
        <v>2</v>
      </c>
      <c r="D9" s="240" t="s">
        <v>181</v>
      </c>
      <c r="E9" s="235" t="s">
        <v>182</v>
      </c>
      <c r="F9" s="250" t="s">
        <v>192</v>
      </c>
      <c r="G9" s="250" t="s">
        <v>1</v>
      </c>
      <c r="H9" s="240" t="s">
        <v>48</v>
      </c>
      <c r="I9" s="235" t="s">
        <v>119</v>
      </c>
      <c r="J9" s="236" t="s">
        <v>32</v>
      </c>
      <c r="K9" s="237" t="s">
        <v>4</v>
      </c>
      <c r="L9" s="240" t="s">
        <v>84</v>
      </c>
      <c r="M9" s="240" t="s">
        <v>89</v>
      </c>
      <c r="N9" s="239" t="s">
        <v>43</v>
      </c>
      <c r="O9" s="237" t="s">
        <v>4</v>
      </c>
      <c r="P9" s="235" t="s">
        <v>46</v>
      </c>
      <c r="Q9" s="230" t="s">
        <v>10</v>
      </c>
      <c r="R9" s="234" t="s">
        <v>146</v>
      </c>
      <c r="S9" s="240" t="s">
        <v>11</v>
      </c>
      <c r="T9" s="234" t="s">
        <v>7</v>
      </c>
      <c r="U9" s="234"/>
      <c r="V9" s="234"/>
      <c r="W9" s="234"/>
      <c r="X9" s="234"/>
      <c r="Y9" s="234"/>
      <c r="Z9" s="233" t="s">
        <v>122</v>
      </c>
      <c r="AA9" s="233" t="s">
        <v>44</v>
      </c>
      <c r="AB9" s="233" t="s">
        <v>4</v>
      </c>
      <c r="AC9" s="233" t="s">
        <v>45</v>
      </c>
      <c r="AD9" s="233" t="s">
        <v>4</v>
      </c>
      <c r="AE9" s="233" t="s">
        <v>47</v>
      </c>
      <c r="AF9" s="230" t="s">
        <v>28</v>
      </c>
      <c r="AG9" s="234" t="s">
        <v>33</v>
      </c>
      <c r="AH9" s="234" t="s">
        <v>34</v>
      </c>
      <c r="AI9" s="234" t="s">
        <v>35</v>
      </c>
      <c r="AJ9" s="234" t="s">
        <v>37</v>
      </c>
      <c r="AK9" s="234" t="s">
        <v>36</v>
      </c>
      <c r="AL9" s="234" t="s">
        <v>38</v>
      </c>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row>
    <row r="10" spans="1:70" s="4" customFormat="1" ht="94.5" customHeight="1" x14ac:dyDescent="0.3">
      <c r="A10" s="262"/>
      <c r="B10" s="234"/>
      <c r="C10" s="251"/>
      <c r="D10" s="235"/>
      <c r="E10" s="234"/>
      <c r="F10" s="251"/>
      <c r="G10" s="251"/>
      <c r="H10" s="235"/>
      <c r="I10" s="234"/>
      <c r="J10" s="235"/>
      <c r="K10" s="238"/>
      <c r="L10" s="235"/>
      <c r="M10" s="235"/>
      <c r="N10" s="238"/>
      <c r="O10" s="238"/>
      <c r="P10" s="234"/>
      <c r="Q10" s="231"/>
      <c r="R10" s="234"/>
      <c r="S10" s="235"/>
      <c r="T10" s="7" t="s">
        <v>12</v>
      </c>
      <c r="U10" s="7" t="s">
        <v>16</v>
      </c>
      <c r="V10" s="7" t="s">
        <v>27</v>
      </c>
      <c r="W10" s="7" t="s">
        <v>17</v>
      </c>
      <c r="X10" s="7" t="s">
        <v>20</v>
      </c>
      <c r="Y10" s="7" t="s">
        <v>23</v>
      </c>
      <c r="Z10" s="233"/>
      <c r="AA10" s="233"/>
      <c r="AB10" s="233"/>
      <c r="AC10" s="233"/>
      <c r="AD10" s="233"/>
      <c r="AE10" s="233"/>
      <c r="AF10" s="231"/>
      <c r="AG10" s="234"/>
      <c r="AH10" s="234"/>
      <c r="AI10" s="234"/>
      <c r="AJ10" s="234"/>
      <c r="AK10" s="234"/>
      <c r="AL10" s="234"/>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row>
    <row r="11" spans="1:70" s="3" customFormat="1" ht="118.8" customHeight="1" x14ac:dyDescent="0.3">
      <c r="A11" s="212">
        <v>1</v>
      </c>
      <c r="B11" s="215" t="s">
        <v>190</v>
      </c>
      <c r="C11" s="215" t="s">
        <v>116</v>
      </c>
      <c r="D11" s="159" t="s">
        <v>288</v>
      </c>
      <c r="E11" s="205" t="s">
        <v>289</v>
      </c>
      <c r="F11" s="205" t="s">
        <v>197</v>
      </c>
      <c r="G11" s="205" t="s">
        <v>290</v>
      </c>
      <c r="H11" s="205" t="s">
        <v>217</v>
      </c>
      <c r="I11" s="208">
        <v>1</v>
      </c>
      <c r="J11" s="209" t="str">
        <f>IF(I11&lt;=0,"",IF(I11&lt;=5,"Muy Baja",IF(I11&lt;=24,"Baja",IF(I11&lt;=150,"Media",IF(I11&lt;=300,"Alta","Muy Alta")))))</f>
        <v>Muy Baja</v>
      </c>
      <c r="K11" s="221">
        <f>IF(J11="","",IF(J11="Muy Baja",0.2,IF(J11="Baja",0.4,IF(J11="Media",0.6,IF(J11="Alta",0.8,IF(J11="Muy Alta",1,))))))</f>
        <v>0.2</v>
      </c>
      <c r="L11" s="224" t="s">
        <v>138</v>
      </c>
      <c r="M11" s="221" t="str">
        <f>IF(NOT(ISERROR(MATCH(L11,'Tabla Impacto'!$B$221:$B$223,0))),'Tabla Impacto'!$F$223&amp;"Por favor no seleccionar los criterios de impacto(Afectación Económica o presupuestal y Pérdida Reputacional)",L11)</f>
        <v xml:space="preserve">     El riesgo afecta la imagen de la entidad con algunos usuarios de relevancia frente al logro de los objetivos</v>
      </c>
      <c r="N11" s="209" t="str">
        <f>IF(OR(M11='Tabla Impacto'!$C$11,M11='Tabla Impacto'!$D$11),"Leve",IF(OR(M11='Tabla Impacto'!$C$12,M11='Tabla Impacto'!$D$12),"Menor",IF(OR(M11='Tabla Impacto'!$C$13,M11='Tabla Impacto'!$D$13),"Moderado",IF(OR(M11='Tabla Impacto'!$C$14,M11='Tabla Impacto'!$D$14),"Mayor",IF(OR(M11='Tabla Impacto'!$C$15,M11='Tabla Impacto'!$D$15),"Catastrófico","")))))</f>
        <v>Moderado</v>
      </c>
      <c r="O11" s="221">
        <f>IF(N11="","",IF(N11="Leve",0.2,IF(N11="Menor",0.4,IF(N11="Moderado",0.6,IF(N11="Mayor",0.8,IF(N11="Catastrófico",1,))))))</f>
        <v>0.6</v>
      </c>
      <c r="P11" s="218" t="str">
        <f>IF(OR(AND(J11="Muy Baja",N11="Leve"),AND(J11="Muy Baja",N11="Menor"),AND(J11="Baja",N11="Leve")),"Bajo",IF(OR(AND(J11="Muy baja",N11="Moderado"),AND(J11="Baja",N11="Menor"),AND(J11="Baja",N11="Moderado"),AND(J11="Media",N11="Leve"),AND(J11="Media",N11="Menor"),AND(J11="Media",N11="Moderado"),AND(J11="Alta",N11="Leve"),AND(J11="Alta",N11="Menor")),"Moderado",IF(OR(AND(J11="Muy Baja",N11="Mayor"),AND(J11="Baja",N11="Mayor"),AND(J11="Media",N11="Mayor"),AND(J11="Alta",N11="Moderado"),AND(J11="Alta",N11="Mayor"),AND(J11="Muy Alta",N11="Leve"),AND(J11="Muy Alta",N11="Menor"),AND(J11="Muy Alta",N11="Moderado"),AND(J11="Muy Alta",N11="Mayor")),"Alto",IF(OR(AND(J11="Muy Baja",N11="Catastrófico"),AND(J11="Baja",N11="Catastrófico"),AND(J11="Media",N11="Catastrófico"),AND(J11="Alta",N11="Catastrófico"),AND(J11="Muy Alta",N11="Catastrófico")),"Extremo",""))))</f>
        <v>Moderado</v>
      </c>
      <c r="Q11" s="125">
        <v>1</v>
      </c>
      <c r="R11" s="162" t="s">
        <v>291</v>
      </c>
      <c r="S11" s="127" t="str">
        <f>IF(OR(T11="Preventivo",T11="Detectivo"),"Probabilidad",IF(T11="Correctivo","Impacto",""))</f>
        <v>Probabilidad</v>
      </c>
      <c r="T11" s="128" t="s">
        <v>14</v>
      </c>
      <c r="U11" s="128" t="s">
        <v>9</v>
      </c>
      <c r="V11" s="129" t="str">
        <f>IF(AND(T11="Preventivo",U11="Automático"),"50%",IF(AND(T11="Preventivo",U11="Manual"),"40%",IF(AND(T11="Detectivo",U11="Automático"),"40%",IF(AND(T11="Detectivo",U11="Manual"),"30%",IF(AND(T11="Correctivo",U11="Automático"),"35%",IF(AND(T11="Correctivo",U11="Manual"),"25%",""))))))</f>
        <v>40%</v>
      </c>
      <c r="W11" s="128"/>
      <c r="X11" s="128"/>
      <c r="Y11" s="128"/>
      <c r="Z11" s="130">
        <f>IFERROR(IF(S11="Probabilidad",(K11-(+K11*V11)),IF(S11="Impacto",K11,"")),"")</f>
        <v>0.12</v>
      </c>
      <c r="AA11" s="131" t="str">
        <f>IFERROR(IF(Z11="","",IF(Z11&lt;=0.2,"Muy Baja",IF(Z11&lt;=0.4,"Baja",IF(Z11&lt;=0.6,"Media",IF(Z11&lt;=0.8,"Alta","Muy Alta"))))),"")</f>
        <v>Muy Baja</v>
      </c>
      <c r="AB11" s="132">
        <f>+Z11</f>
        <v>0.12</v>
      </c>
      <c r="AC11" s="131" t="str">
        <f>IFERROR(IF(AD11="","",IF(AD11&lt;=0.2,"Leve",IF(AD11&lt;=0.4,"Menor",IF(AD11&lt;=0.6,"Moderado",IF(AD11&lt;=0.8,"Mayor","Catastrófico"))))),"")</f>
        <v>Moderado</v>
      </c>
      <c r="AD11" s="132">
        <f>IFERROR(IF(S11="Impacto",(O11-(+O11*V11)),IF(S11="Probabilidad",O11,"")),"")</f>
        <v>0.6</v>
      </c>
      <c r="AE11" s="133" t="str">
        <f>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134" t="s">
        <v>121</v>
      </c>
      <c r="AG11" s="135"/>
      <c r="AH11" s="136"/>
      <c r="AI11" s="137"/>
      <c r="AJ11" s="137"/>
      <c r="AK11" s="135"/>
      <c r="AL11" s="13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row>
    <row r="12" spans="1:70" ht="104.4" customHeight="1" x14ac:dyDescent="0.25">
      <c r="A12" s="213"/>
      <c r="B12" s="216"/>
      <c r="C12" s="216"/>
      <c r="D12" s="160"/>
      <c r="E12" s="206"/>
      <c r="F12" s="206"/>
      <c r="G12" s="206"/>
      <c r="H12" s="206"/>
      <c r="I12" s="206"/>
      <c r="J12" s="210"/>
      <c r="K12" s="222"/>
      <c r="L12" s="225"/>
      <c r="M12" s="222">
        <f>IF(NOT(ISERROR(MATCH(L12,_xlfn.ANCHORARRAY(G23),0))),K25&amp;"Por favor no seleccionar los criterios de impacto",L12)</f>
        <v>0</v>
      </c>
      <c r="N12" s="210"/>
      <c r="O12" s="222"/>
      <c r="P12" s="219"/>
      <c r="Q12" s="125">
        <v>2</v>
      </c>
      <c r="R12" s="162" t="s">
        <v>292</v>
      </c>
      <c r="S12" s="127" t="str">
        <f>IF(OR(T12="Preventivo",T12="Detectivo"),"Probabilidad",IF(T12="Correctivo","Impacto",""))</f>
        <v>Impacto</v>
      </c>
      <c r="T12" s="128" t="s">
        <v>15</v>
      </c>
      <c r="U12" s="128" t="s">
        <v>8</v>
      </c>
      <c r="V12" s="129" t="str">
        <f t="shared" ref="V12:V16" si="0">IF(AND(T12="Preventivo",U12="Automático"),"50%",IF(AND(T12="Preventivo",U12="Manual"),"40%",IF(AND(T12="Detectivo",U12="Automático"),"40%",IF(AND(T12="Detectivo",U12="Manual"),"30%",IF(AND(T12="Correctivo",U12="Automático"),"35%",IF(AND(T12="Correctivo",U12="Manual"),"25%",""))))))</f>
        <v>25%</v>
      </c>
      <c r="W12" s="128" t="s">
        <v>19</v>
      </c>
      <c r="X12" s="128" t="s">
        <v>21</v>
      </c>
      <c r="Y12" s="128" t="s">
        <v>111</v>
      </c>
      <c r="Z12" s="130">
        <f>IFERROR(IF(AND(S11="Probabilidad",S12="Probabilidad"),(AB11-(+AB11*V12)),IF(S12="Probabilidad",(K11-(+K11*V12)),IF(S12="Impacto",AB11,""))),"")</f>
        <v>0.12</v>
      </c>
      <c r="AA12" s="131" t="str">
        <f t="shared" ref="AA12:AA70" si="1">IFERROR(IF(Z12="","",IF(Z12&lt;=0.2,"Muy Baja",IF(Z12&lt;=0.4,"Baja",IF(Z12&lt;=0.6,"Media",IF(Z12&lt;=0.8,"Alta","Muy Alta"))))),"")</f>
        <v>Muy Baja</v>
      </c>
      <c r="AB12" s="132">
        <f t="shared" ref="AB12:AB16" si="2">+Z12</f>
        <v>0.12</v>
      </c>
      <c r="AC12" s="131" t="str">
        <f t="shared" ref="AC12:AC70" si="3">IFERROR(IF(AD12="","",IF(AD12&lt;=0.2,"Leve",IF(AD12&lt;=0.4,"Menor",IF(AD12&lt;=0.6,"Moderado",IF(AD12&lt;=0.8,"Mayor","Catastrófico"))))),"")</f>
        <v>Moderado</v>
      </c>
      <c r="AD12" s="140">
        <f>IFERROR(IF(AND(S11="Impacto",S12="Impacto"),(AD11-(+AD11*V12)),IF(S12="Impacto",(O11-(+O11*V12)),IF(S12="Probabilidad",AD11,""))),"")</f>
        <v>0.44999999999999996</v>
      </c>
      <c r="AE12" s="133" t="str">
        <f t="shared" ref="AE12:AE16" si="4">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134"/>
      <c r="AG12" s="135"/>
      <c r="AH12" s="136"/>
      <c r="AI12" s="137"/>
      <c r="AJ12" s="137"/>
      <c r="AK12" s="135"/>
      <c r="AL12" s="136"/>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19.2" customHeight="1" x14ac:dyDescent="0.25">
      <c r="A13" s="213"/>
      <c r="B13" s="216"/>
      <c r="C13" s="216"/>
      <c r="D13" s="160"/>
      <c r="E13" s="206"/>
      <c r="F13" s="206"/>
      <c r="G13" s="206"/>
      <c r="H13" s="206"/>
      <c r="I13" s="206"/>
      <c r="J13" s="210"/>
      <c r="K13" s="222"/>
      <c r="L13" s="225"/>
      <c r="M13" s="222">
        <f>IF(NOT(ISERROR(MATCH(L13,_xlfn.ANCHORARRAY(G24),0))),K26&amp;"Por favor no seleccionar los criterios de impacto",L13)</f>
        <v>0</v>
      </c>
      <c r="N13" s="210"/>
      <c r="O13" s="222"/>
      <c r="P13" s="219"/>
      <c r="Q13" s="125">
        <v>3</v>
      </c>
      <c r="R13" s="138"/>
      <c r="S13" s="127" t="str">
        <f>IF(OR(T13="Preventivo",T13="Detectivo"),"Probabilidad",IF(T13="Correctivo","Impacto",""))</f>
        <v/>
      </c>
      <c r="T13" s="128"/>
      <c r="U13" s="128"/>
      <c r="V13" s="129" t="str">
        <f t="shared" si="0"/>
        <v/>
      </c>
      <c r="W13" s="128"/>
      <c r="X13" s="128"/>
      <c r="Y13" s="128"/>
      <c r="Z13" s="130" t="str">
        <f>IFERROR(IF(AND(S12="Probabilidad",S13="Probabilidad"),(AB12-(+AB12*V13)),IF(AND(S12="Impacto",S13="Probabilidad"),(AB11-(+AB11*V13)),IF(S13="Impacto",AB12,""))),"")</f>
        <v/>
      </c>
      <c r="AA13" s="131" t="str">
        <f t="shared" si="1"/>
        <v/>
      </c>
      <c r="AB13" s="132" t="str">
        <f t="shared" si="2"/>
        <v/>
      </c>
      <c r="AC13" s="131" t="str">
        <f t="shared" si="3"/>
        <v/>
      </c>
      <c r="AD13" s="140" t="str">
        <f>IFERROR(IF(AND(S12="Impacto",S13="Impacto"),(AD12-(+AD12*V13)),IF(AND(S12="Probabilidad",S13="Impacto"),(AD11-(+AD11*V13)),IF(S13="Probabilidad",AD12,""))),"")</f>
        <v/>
      </c>
      <c r="AE13" s="133" t="str">
        <f t="shared" si="4"/>
        <v/>
      </c>
      <c r="AF13" s="134"/>
      <c r="AG13" s="135"/>
      <c r="AH13" s="136"/>
      <c r="AI13" s="137"/>
      <c r="AJ13" s="137"/>
      <c r="AK13" s="135"/>
      <c r="AL13" s="136"/>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24" customHeight="1" x14ac:dyDescent="0.25">
      <c r="A14" s="213"/>
      <c r="B14" s="216"/>
      <c r="C14" s="216"/>
      <c r="D14" s="160"/>
      <c r="E14" s="206"/>
      <c r="F14" s="206"/>
      <c r="G14" s="206"/>
      <c r="H14" s="206"/>
      <c r="I14" s="206"/>
      <c r="J14" s="210"/>
      <c r="K14" s="222"/>
      <c r="L14" s="225"/>
      <c r="M14" s="222">
        <f>IF(NOT(ISERROR(MATCH(L14,_xlfn.ANCHORARRAY(G25),0))),K27&amp;"Por favor no seleccionar los criterios de impacto",L14)</f>
        <v>0</v>
      </c>
      <c r="N14" s="210"/>
      <c r="O14" s="222"/>
      <c r="P14" s="219"/>
      <c r="Q14" s="125">
        <v>4</v>
      </c>
      <c r="R14" s="126"/>
      <c r="S14" s="127" t="str">
        <f t="shared" ref="S14:S16" si="5">IF(OR(T14="Preventivo",T14="Detectivo"),"Probabilidad",IF(T14="Correctivo","Impacto",""))</f>
        <v/>
      </c>
      <c r="T14" s="128"/>
      <c r="U14" s="128"/>
      <c r="V14" s="129" t="str">
        <f t="shared" si="0"/>
        <v/>
      </c>
      <c r="W14" s="128"/>
      <c r="X14" s="128"/>
      <c r="Y14" s="128"/>
      <c r="Z14" s="130" t="str">
        <f t="shared" ref="Z14:Z16" si="6">IFERROR(IF(AND(S13="Probabilidad",S14="Probabilidad"),(AB13-(+AB13*V14)),IF(AND(S13="Impacto",S14="Probabilidad"),(AB12-(+AB12*V14)),IF(S14="Impacto",AB13,""))),"")</f>
        <v/>
      </c>
      <c r="AA14" s="131" t="str">
        <f t="shared" si="1"/>
        <v/>
      </c>
      <c r="AB14" s="132" t="str">
        <f t="shared" si="2"/>
        <v/>
      </c>
      <c r="AC14" s="131" t="str">
        <f t="shared" si="3"/>
        <v/>
      </c>
      <c r="AD14" s="140" t="str">
        <f t="shared" ref="AD14:AD16" si="7">IFERROR(IF(AND(S13="Impacto",S14="Impacto"),(AD13-(+AD13*V14)),IF(AND(S13="Probabilidad",S14="Impacto"),(AD12-(+AD12*V14)),IF(S14="Probabilidad",AD13,""))),"")</f>
        <v/>
      </c>
      <c r="AE14" s="133" t="str">
        <f>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
      </c>
      <c r="AF14" s="134"/>
      <c r="AG14" s="135"/>
      <c r="AH14" s="136"/>
      <c r="AI14" s="137"/>
      <c r="AJ14" s="137"/>
      <c r="AK14" s="135"/>
      <c r="AL14" s="136"/>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22.2" customHeight="1" x14ac:dyDescent="0.25">
      <c r="A15" s="213"/>
      <c r="B15" s="216"/>
      <c r="C15" s="216"/>
      <c r="D15" s="160"/>
      <c r="E15" s="206"/>
      <c r="F15" s="206"/>
      <c r="G15" s="206"/>
      <c r="H15" s="206"/>
      <c r="I15" s="206"/>
      <c r="J15" s="210"/>
      <c r="K15" s="222"/>
      <c r="L15" s="225"/>
      <c r="M15" s="222">
        <f>IF(NOT(ISERROR(MATCH(L15,_xlfn.ANCHORARRAY(G26),0))),K28&amp;"Por favor no seleccionar los criterios de impacto",L15)</f>
        <v>0</v>
      </c>
      <c r="N15" s="210"/>
      <c r="O15" s="222"/>
      <c r="P15" s="219"/>
      <c r="Q15" s="125">
        <v>5</v>
      </c>
      <c r="R15" s="126"/>
      <c r="S15" s="127" t="str">
        <f t="shared" si="5"/>
        <v/>
      </c>
      <c r="T15" s="128"/>
      <c r="U15" s="128"/>
      <c r="V15" s="129" t="str">
        <f t="shared" si="0"/>
        <v/>
      </c>
      <c r="W15" s="128"/>
      <c r="X15" s="128"/>
      <c r="Y15" s="128"/>
      <c r="Z15" s="130" t="str">
        <f t="shared" si="6"/>
        <v/>
      </c>
      <c r="AA15" s="131" t="str">
        <f t="shared" si="1"/>
        <v/>
      </c>
      <c r="AB15" s="132" t="str">
        <f t="shared" si="2"/>
        <v/>
      </c>
      <c r="AC15" s="131" t="str">
        <f t="shared" si="3"/>
        <v/>
      </c>
      <c r="AD15" s="140" t="str">
        <f t="shared" si="7"/>
        <v/>
      </c>
      <c r="AE15" s="133" t="str">
        <f t="shared" si="4"/>
        <v/>
      </c>
      <c r="AF15" s="134"/>
      <c r="AG15" s="135"/>
      <c r="AH15" s="136"/>
      <c r="AI15" s="137"/>
      <c r="AJ15" s="137"/>
      <c r="AK15" s="135"/>
      <c r="AL15" s="136"/>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21" customHeight="1" x14ac:dyDescent="0.25">
      <c r="A16" s="214"/>
      <c r="B16" s="217"/>
      <c r="C16" s="217"/>
      <c r="D16" s="161"/>
      <c r="E16" s="207"/>
      <c r="F16" s="207"/>
      <c r="G16" s="207"/>
      <c r="H16" s="207"/>
      <c r="I16" s="207"/>
      <c r="J16" s="211"/>
      <c r="K16" s="223"/>
      <c r="L16" s="226"/>
      <c r="M16" s="223">
        <f>IF(NOT(ISERROR(MATCH(L16,_xlfn.ANCHORARRAY(G27),0))),K29&amp;"Por favor no seleccionar los criterios de impacto",L16)</f>
        <v>0</v>
      </c>
      <c r="N16" s="211"/>
      <c r="O16" s="223"/>
      <c r="P16" s="220"/>
      <c r="Q16" s="125">
        <v>6</v>
      </c>
      <c r="R16" s="126"/>
      <c r="S16" s="127" t="str">
        <f t="shared" si="5"/>
        <v/>
      </c>
      <c r="T16" s="128"/>
      <c r="U16" s="128"/>
      <c r="V16" s="129" t="str">
        <f t="shared" si="0"/>
        <v/>
      </c>
      <c r="W16" s="128"/>
      <c r="X16" s="128"/>
      <c r="Y16" s="128"/>
      <c r="Z16" s="130" t="str">
        <f t="shared" si="6"/>
        <v/>
      </c>
      <c r="AA16" s="131" t="str">
        <f t="shared" si="1"/>
        <v/>
      </c>
      <c r="AB16" s="132" t="str">
        <f t="shared" si="2"/>
        <v/>
      </c>
      <c r="AC16" s="131" t="str">
        <f t="shared" si="3"/>
        <v/>
      </c>
      <c r="AD16" s="140" t="str">
        <f t="shared" si="7"/>
        <v/>
      </c>
      <c r="AE16" s="133" t="str">
        <f t="shared" si="4"/>
        <v/>
      </c>
      <c r="AF16" s="134"/>
      <c r="AG16" s="135"/>
      <c r="AH16" s="136"/>
      <c r="AI16" s="137"/>
      <c r="AJ16" s="137"/>
      <c r="AK16" s="135"/>
      <c r="AL16" s="136"/>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51.5" customHeight="1" x14ac:dyDescent="0.25">
      <c r="A17" s="212">
        <v>2</v>
      </c>
      <c r="B17" s="215" t="s">
        <v>190</v>
      </c>
      <c r="C17" s="215" t="s">
        <v>116</v>
      </c>
      <c r="D17" s="159" t="s">
        <v>293</v>
      </c>
      <c r="E17" s="205" t="s">
        <v>294</v>
      </c>
      <c r="F17" s="205" t="s">
        <v>196</v>
      </c>
      <c r="G17" s="205" t="s">
        <v>295</v>
      </c>
      <c r="H17" s="215" t="s">
        <v>217</v>
      </c>
      <c r="I17" s="244">
        <v>1</v>
      </c>
      <c r="J17" s="209" t="str">
        <f>IF(I17&lt;=0,"",IF(I17&lt;=2,"Muy Baja",IF(I17&lt;=24,"Baja",IF(I17&lt;=500,"Media",IF(I17&lt;=5000,"Alta","Muy Alta")))))</f>
        <v>Muy Baja</v>
      </c>
      <c r="K17" s="221">
        <f>IF(J17="","",IF(J17="Muy Baja",0.2,IF(J17="Baja",0.4,IF(J17="Media",0.6,IF(J17="Alta",0.8,IF(J17="Muy Alta",1,))))))</f>
        <v>0.2</v>
      </c>
      <c r="L17" s="224" t="s">
        <v>138</v>
      </c>
      <c r="M17" s="221" t="str">
        <f>IF(NOT(ISERROR(MATCH(L17,'Tabla Impacto'!$B$221:$B$223,0))),'Tabla Impacto'!$F$223&amp;"Por favor no seleccionar los criterios de impacto(Afectación Económica o presupuestal y Pérdida Reputacional)",L17)</f>
        <v xml:space="preserve">     El riesgo afecta la imagen de la entidad con algunos usuarios de relevancia frente al logro de los objetivos</v>
      </c>
      <c r="N17" s="209" t="str">
        <f>IF(OR(M17='Tabla Impacto'!$C$11,M17='Tabla Impacto'!$D$11),"Leve",IF(OR(M17='Tabla Impacto'!$C$12,M17='Tabla Impacto'!$D$12),"Menor",IF(OR(M17='Tabla Impacto'!$C$13,M17='Tabla Impacto'!$D$13),"Moderado",IF(OR(M17='Tabla Impacto'!$C$14,M17='Tabla Impacto'!$D$14),"Mayor",IF(OR(M17='Tabla Impacto'!$C$15,M17='Tabla Impacto'!$D$15),"Catastrófico","")))))</f>
        <v>Moderado</v>
      </c>
      <c r="O17" s="221">
        <f>IF(N17="","",IF(N17="Leve",0.2,IF(N17="Menor",0.4,IF(N17="Moderado",0.6,IF(N17="Mayor",0.8,IF(N17="Catastrófico",1,))))))</f>
        <v>0.6</v>
      </c>
      <c r="P17" s="218" t="str">
        <f>IF(OR(AND(J17="Muy Baja",N17="Leve"),AND(J17="Muy Baja",N17="Menor"),AND(J17="Baja",N17="Leve")),"Bajo",IF(OR(AND(J17="Muy baja",N17="Moderado"),AND(J17="Baja",N17="Menor"),AND(J17="Baja",N17="Moderado"),AND(J17="Media",N17="Leve"),AND(J17="Media",N17="Menor"),AND(J17="Media",N17="Moderado"),AND(J17="Alta",N17="Leve"),AND(J17="Alta",N17="Menor")),"Moderado",IF(OR(AND(J17="Muy Baja",N17="Mayor"),AND(J17="Baja",N17="Mayor"),AND(J17="Media",N17="Mayor"),AND(J17="Alta",N17="Moderado"),AND(J17="Alta",N17="Mayor"),AND(J17="Muy Alta",N17="Leve"),AND(J17="Muy Alta",N17="Menor"),AND(J17="Muy Alta",N17="Moderado"),AND(J17="Muy Alta",N17="Mayor")),"Alto",IF(OR(AND(J17="Muy Baja",N17="Catastrófico"),AND(J17="Baja",N17="Catastrófico"),AND(J17="Media",N17="Catastrófico"),AND(J17="Alta",N17="Catastrófico"),AND(J17="Muy Alta",N17="Catastrófico")),"Extremo",""))))</f>
        <v>Moderado</v>
      </c>
      <c r="Q17" s="125">
        <v>1</v>
      </c>
      <c r="R17" s="162" t="s">
        <v>296</v>
      </c>
      <c r="S17" s="127" t="str">
        <f>IF(OR(T17="Preventivo",T17="Detectivo"),"Probabilidad",IF(T17="Correctivo","Impacto",""))</f>
        <v>Probabilidad</v>
      </c>
      <c r="T17" s="128" t="s">
        <v>13</v>
      </c>
      <c r="U17" s="128" t="s">
        <v>8</v>
      </c>
      <c r="V17" s="129" t="str">
        <f>IF(AND(T17="Preventivo",U17="Automático"),"50%",IF(AND(T17="Preventivo",U17="Manual"),"40%",IF(AND(T17="Detectivo",U17="Automático"),"40%",IF(AND(T17="Detectivo",U17="Manual"),"30%",IF(AND(T17="Correctivo",U17="Automático"),"35%",IF(AND(T17="Correctivo",U17="Manual"),"25%",""))))))</f>
        <v>40%</v>
      </c>
      <c r="W17" s="128" t="s">
        <v>19</v>
      </c>
      <c r="X17" s="128" t="s">
        <v>21</v>
      </c>
      <c r="Y17" s="128" t="s">
        <v>112</v>
      </c>
      <c r="Z17" s="130">
        <f>IFERROR(IF(S17="Probabilidad",(K17-(+K17*V17)),IF(S17="Impacto",K17,"")),"")</f>
        <v>0.12</v>
      </c>
      <c r="AA17" s="131" t="str">
        <f>IFERROR(IF(Z17="","",IF(Z17&lt;=0.2,"Muy Baja",IF(Z17&lt;=0.4,"Baja",IF(Z17&lt;=0.6,"Media",IF(Z17&lt;=0.8,"Alta","Muy Alta"))))),"")</f>
        <v>Muy Baja</v>
      </c>
      <c r="AB17" s="132">
        <f>+Z17</f>
        <v>0.12</v>
      </c>
      <c r="AC17" s="131" t="str">
        <f>IFERROR(IF(AD17="","",IF(AD17&lt;=0.2,"Leve",IF(AD17&lt;=0.4,"Menor",IF(AD17&lt;=0.6,"Moderado",IF(AD17&lt;=0.8,"Mayor","Catastrófico"))))),"")</f>
        <v>Moderado</v>
      </c>
      <c r="AD17" s="140">
        <f>IFERROR(IF(S17="Impacto",(O17-(+O17*V17)),IF(S17="Probabilidad",O17,"")),"")</f>
        <v>0.6</v>
      </c>
      <c r="AE17" s="133" t="str">
        <f>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Moderado</v>
      </c>
      <c r="AF17" s="134"/>
      <c r="AG17" s="135"/>
      <c r="AH17" s="136"/>
      <c r="AI17" s="137"/>
      <c r="AJ17" s="137"/>
      <c r="AK17" s="135"/>
      <c r="AL17" s="136"/>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117" customHeight="1" x14ac:dyDescent="0.25">
      <c r="A18" s="213"/>
      <c r="B18" s="216"/>
      <c r="C18" s="216"/>
      <c r="D18" s="142"/>
      <c r="E18" s="206"/>
      <c r="F18" s="206"/>
      <c r="G18" s="206"/>
      <c r="H18" s="216"/>
      <c r="I18" s="245"/>
      <c r="J18" s="210"/>
      <c r="K18" s="222"/>
      <c r="L18" s="225"/>
      <c r="M18" s="222">
        <f>IF(NOT(ISERROR(MATCH(L18,_xlfn.ANCHORARRAY(G29),0))),K31&amp;"Por favor no seleccionar los criterios de impacto",L18)</f>
        <v>0</v>
      </c>
      <c r="N18" s="210"/>
      <c r="O18" s="222"/>
      <c r="P18" s="219"/>
      <c r="Q18" s="125">
        <v>2</v>
      </c>
      <c r="R18" s="162" t="s">
        <v>297</v>
      </c>
      <c r="S18" s="127" t="str">
        <f>IF(OR(T18="Preventivo",T18="Detectivo"),"Probabilidad",IF(T18="Correctivo","Impacto",""))</f>
        <v>Probabilidad</v>
      </c>
      <c r="T18" s="128" t="s">
        <v>13</v>
      </c>
      <c r="U18" s="128" t="s">
        <v>8</v>
      </c>
      <c r="V18" s="129" t="str">
        <f t="shared" ref="V18:V22" si="8">IF(AND(T18="Preventivo",U18="Automático"),"50%",IF(AND(T18="Preventivo",U18="Manual"),"40%",IF(AND(T18="Detectivo",U18="Automático"),"40%",IF(AND(T18="Detectivo",U18="Manual"),"30%",IF(AND(T18="Correctivo",U18="Automático"),"35%",IF(AND(T18="Correctivo",U18="Manual"),"25%",""))))))</f>
        <v>40%</v>
      </c>
      <c r="W18" s="128" t="s">
        <v>19</v>
      </c>
      <c r="X18" s="128" t="s">
        <v>21</v>
      </c>
      <c r="Y18" s="128" t="s">
        <v>112</v>
      </c>
      <c r="Z18" s="130">
        <f>IFERROR(IF(AND(S17="Probabilidad",S18="Probabilidad"),(AB17-(+AB17*V18)),IF(S18="Probabilidad",(K17-(+K17*V18)),IF(S18="Impacto",AB17,""))),"")</f>
        <v>7.1999999999999995E-2</v>
      </c>
      <c r="AA18" s="131" t="str">
        <f t="shared" si="1"/>
        <v>Muy Baja</v>
      </c>
      <c r="AB18" s="132">
        <f t="shared" ref="AB18:AB22" si="9">+Z18</f>
        <v>7.1999999999999995E-2</v>
      </c>
      <c r="AC18" s="131" t="str">
        <f t="shared" si="3"/>
        <v>Moderado</v>
      </c>
      <c r="AD18" s="140">
        <f>IFERROR(IF(AND(S17="Impacto",S18="Impacto"),(AD17-(+AD17*V18)),IF(S18="Impacto",(O17-(+O17*V18)),IF(S18="Probabilidad",AD17,""))),"")</f>
        <v>0.6</v>
      </c>
      <c r="AE18" s="133" t="str">
        <f t="shared" ref="AE18:AE19" si="10">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Moderado</v>
      </c>
      <c r="AF18" s="134"/>
      <c r="AG18" s="135"/>
      <c r="AH18" s="136"/>
      <c r="AI18" s="137"/>
      <c r="AJ18" s="137"/>
      <c r="AK18" s="135"/>
      <c r="AL18" s="13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0.399999999999999" customHeight="1" x14ac:dyDescent="0.25">
      <c r="A19" s="213"/>
      <c r="B19" s="216"/>
      <c r="C19" s="216"/>
      <c r="D19" s="142"/>
      <c r="E19" s="206"/>
      <c r="F19" s="206"/>
      <c r="G19" s="206"/>
      <c r="H19" s="216"/>
      <c r="I19" s="245"/>
      <c r="J19" s="210"/>
      <c r="K19" s="222"/>
      <c r="L19" s="225"/>
      <c r="M19" s="222">
        <f>IF(NOT(ISERROR(MATCH(L19,_xlfn.ANCHORARRAY(G30),0))),K32&amp;"Por favor no seleccionar los criterios de impacto",L19)</f>
        <v>0</v>
      </c>
      <c r="N19" s="210"/>
      <c r="O19" s="222"/>
      <c r="P19" s="219"/>
      <c r="Q19" s="125">
        <v>3</v>
      </c>
      <c r="R19" s="138"/>
      <c r="S19" s="127" t="str">
        <f>IF(OR(T19="Preventivo",T19="Detectivo"),"Probabilidad",IF(T19="Correctivo","Impacto",""))</f>
        <v/>
      </c>
      <c r="T19" s="128"/>
      <c r="U19" s="128"/>
      <c r="V19" s="129" t="str">
        <f t="shared" si="8"/>
        <v/>
      </c>
      <c r="W19" s="128"/>
      <c r="X19" s="128"/>
      <c r="Y19" s="128"/>
      <c r="Z19" s="130" t="str">
        <f>IFERROR(IF(AND(S18="Probabilidad",S19="Probabilidad"),(AB18-(+AB18*V19)),IF(AND(S18="Impacto",S19="Probabilidad"),(AB17-(+AB17*V19)),IF(S19="Impacto",AB18,""))),"")</f>
        <v/>
      </c>
      <c r="AA19" s="131" t="str">
        <f t="shared" si="1"/>
        <v/>
      </c>
      <c r="AB19" s="132" t="str">
        <f t="shared" si="9"/>
        <v/>
      </c>
      <c r="AC19" s="131" t="str">
        <f t="shared" si="3"/>
        <v/>
      </c>
      <c r="AD19" s="140" t="str">
        <f>IFERROR(IF(AND(S18="Impacto",S19="Impacto"),(AD18-(+AD18*V19)),IF(AND(S18="Probabilidad",S19="Impacto"),(AD17-(+AD17*V19)),IF(S19="Probabilidad",AD18,""))),"")</f>
        <v/>
      </c>
      <c r="AE19" s="133" t="str">
        <f t="shared" si="10"/>
        <v/>
      </c>
      <c r="AF19" s="134"/>
      <c r="AG19" s="135"/>
      <c r="AH19" s="136"/>
      <c r="AI19" s="137"/>
      <c r="AJ19" s="137"/>
      <c r="AK19" s="135"/>
      <c r="AL19" s="13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18" customHeight="1" x14ac:dyDescent="0.25">
      <c r="A20" s="213"/>
      <c r="B20" s="216"/>
      <c r="C20" s="216"/>
      <c r="D20" s="142"/>
      <c r="E20" s="206"/>
      <c r="F20" s="206"/>
      <c r="G20" s="206"/>
      <c r="H20" s="216"/>
      <c r="I20" s="245"/>
      <c r="J20" s="210"/>
      <c r="K20" s="222"/>
      <c r="L20" s="225"/>
      <c r="M20" s="222">
        <f>IF(NOT(ISERROR(MATCH(L20,_xlfn.ANCHORARRAY(G31),0))),K33&amp;"Por favor no seleccionar los criterios de impacto",L20)</f>
        <v>0</v>
      </c>
      <c r="N20" s="210"/>
      <c r="O20" s="222"/>
      <c r="P20" s="219"/>
      <c r="Q20" s="125">
        <v>4</v>
      </c>
      <c r="R20" s="126"/>
      <c r="S20" s="127" t="str">
        <f t="shared" ref="S20:S22" si="11">IF(OR(T20="Preventivo",T20="Detectivo"),"Probabilidad",IF(T20="Correctivo","Impacto",""))</f>
        <v/>
      </c>
      <c r="T20" s="128"/>
      <c r="U20" s="128"/>
      <c r="V20" s="129" t="str">
        <f t="shared" si="8"/>
        <v/>
      </c>
      <c r="W20" s="128"/>
      <c r="X20" s="128"/>
      <c r="Y20" s="128"/>
      <c r="Z20" s="130" t="str">
        <f t="shared" ref="Z20:Z22" si="12">IFERROR(IF(AND(S19="Probabilidad",S20="Probabilidad"),(AB19-(+AB19*V20)),IF(AND(S19="Impacto",S20="Probabilidad"),(AB18-(+AB18*V20)),IF(S20="Impacto",AB19,""))),"")</f>
        <v/>
      </c>
      <c r="AA20" s="131" t="str">
        <f t="shared" si="1"/>
        <v/>
      </c>
      <c r="AB20" s="132" t="str">
        <f t="shared" si="9"/>
        <v/>
      </c>
      <c r="AC20" s="131" t="str">
        <f t="shared" si="3"/>
        <v/>
      </c>
      <c r="AD20" s="140" t="str">
        <f t="shared" ref="AD20:AD22" si="13">IFERROR(IF(AND(S19="Impacto",S20="Impacto"),(AD19-(+AD19*V20)),IF(AND(S19="Probabilidad",S20="Impacto"),(AD18-(+AD18*V20)),IF(S20="Probabilidad",AD19,""))),"")</f>
        <v/>
      </c>
      <c r="AE20" s="133" t="str">
        <f>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34"/>
      <c r="AG20" s="135"/>
      <c r="AH20" s="136"/>
      <c r="AI20" s="137"/>
      <c r="AJ20" s="137"/>
      <c r="AK20" s="135"/>
      <c r="AL20" s="13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17.399999999999999" customHeight="1" x14ac:dyDescent="0.25">
      <c r="A21" s="213"/>
      <c r="B21" s="216"/>
      <c r="C21" s="216"/>
      <c r="D21" s="142"/>
      <c r="E21" s="206"/>
      <c r="F21" s="206"/>
      <c r="G21" s="206"/>
      <c r="H21" s="216"/>
      <c r="I21" s="245"/>
      <c r="J21" s="210"/>
      <c r="K21" s="222"/>
      <c r="L21" s="225"/>
      <c r="M21" s="222">
        <f>IF(NOT(ISERROR(MATCH(L21,_xlfn.ANCHORARRAY(G32),0))),K34&amp;"Por favor no seleccionar los criterios de impacto",L21)</f>
        <v>0</v>
      </c>
      <c r="N21" s="210"/>
      <c r="O21" s="222"/>
      <c r="P21" s="219"/>
      <c r="Q21" s="125">
        <v>5</v>
      </c>
      <c r="R21" s="126"/>
      <c r="S21" s="127" t="str">
        <f t="shared" si="11"/>
        <v/>
      </c>
      <c r="T21" s="128"/>
      <c r="U21" s="128"/>
      <c r="V21" s="129" t="str">
        <f t="shared" si="8"/>
        <v/>
      </c>
      <c r="W21" s="128"/>
      <c r="X21" s="128"/>
      <c r="Y21" s="128"/>
      <c r="Z21" s="130" t="str">
        <f t="shared" si="12"/>
        <v/>
      </c>
      <c r="AA21" s="131" t="str">
        <f t="shared" si="1"/>
        <v/>
      </c>
      <c r="AB21" s="132" t="str">
        <f t="shared" si="9"/>
        <v/>
      </c>
      <c r="AC21" s="131" t="str">
        <f t="shared" si="3"/>
        <v/>
      </c>
      <c r="AD21" s="140" t="str">
        <f t="shared" si="13"/>
        <v/>
      </c>
      <c r="AE21" s="133" t="str">
        <f t="shared" ref="AE21:AE22" si="14">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
      </c>
      <c r="AF21" s="134"/>
      <c r="AG21" s="135"/>
      <c r="AH21" s="136"/>
      <c r="AI21" s="137"/>
      <c r="AJ21" s="137"/>
      <c r="AK21" s="135"/>
      <c r="AL21" s="13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4.4" customHeight="1" x14ac:dyDescent="0.25">
      <c r="A22" s="214"/>
      <c r="B22" s="217"/>
      <c r="C22" s="217"/>
      <c r="D22" s="143"/>
      <c r="E22" s="207"/>
      <c r="F22" s="207"/>
      <c r="G22" s="207"/>
      <c r="H22" s="217"/>
      <c r="I22" s="246"/>
      <c r="J22" s="211"/>
      <c r="K22" s="223"/>
      <c r="L22" s="226"/>
      <c r="M22" s="223">
        <f>IF(NOT(ISERROR(MATCH(L22,_xlfn.ANCHORARRAY(G33),0))),K35&amp;"Por favor no seleccionar los criterios de impacto",L22)</f>
        <v>0</v>
      </c>
      <c r="N22" s="211"/>
      <c r="O22" s="223"/>
      <c r="P22" s="220"/>
      <c r="Q22" s="125">
        <v>6</v>
      </c>
      <c r="R22" s="126"/>
      <c r="S22" s="127" t="str">
        <f t="shared" si="11"/>
        <v/>
      </c>
      <c r="T22" s="128"/>
      <c r="U22" s="128"/>
      <c r="V22" s="129" t="str">
        <f t="shared" si="8"/>
        <v/>
      </c>
      <c r="W22" s="128"/>
      <c r="X22" s="128"/>
      <c r="Y22" s="128"/>
      <c r="Z22" s="130" t="str">
        <f t="shared" si="12"/>
        <v/>
      </c>
      <c r="AA22" s="131" t="str">
        <f t="shared" si="1"/>
        <v/>
      </c>
      <c r="AB22" s="132" t="str">
        <f t="shared" si="9"/>
        <v/>
      </c>
      <c r="AC22" s="131" t="str">
        <f t="shared" si="3"/>
        <v/>
      </c>
      <c r="AD22" s="140" t="str">
        <f t="shared" si="13"/>
        <v/>
      </c>
      <c r="AE22" s="133" t="str">
        <f t="shared" si="14"/>
        <v/>
      </c>
      <c r="AF22" s="134"/>
      <c r="AG22" s="135"/>
      <c r="AH22" s="136"/>
      <c r="AI22" s="137"/>
      <c r="AJ22" s="137"/>
      <c r="AK22" s="135"/>
      <c r="AL22" s="13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189" customHeight="1" x14ac:dyDescent="0.25">
      <c r="A23" s="212">
        <v>3</v>
      </c>
      <c r="B23" s="215" t="s">
        <v>185</v>
      </c>
      <c r="C23" s="215" t="s">
        <v>116</v>
      </c>
      <c r="D23" s="141" t="s">
        <v>298</v>
      </c>
      <c r="E23" s="215" t="s">
        <v>299</v>
      </c>
      <c r="F23" s="241" t="s">
        <v>198</v>
      </c>
      <c r="G23" s="241" t="s">
        <v>300</v>
      </c>
      <c r="H23" s="215" t="s">
        <v>215</v>
      </c>
      <c r="I23" s="244">
        <v>24</v>
      </c>
      <c r="J23" s="209" t="str">
        <f>IF(I23&lt;=0,"",IF(I23&lt;=2,"Muy Baja",IF(I23&lt;=24,"Baja",IF(I23&lt;=500,"Media",IF(I23&lt;=5000,"Alta","Muy Alta")))))</f>
        <v>Baja</v>
      </c>
      <c r="K23" s="221">
        <f>IF(J23="","",IF(J23="Muy Baja",0.2,IF(J23="Baja",0.4,IF(J23="Media",0.6,IF(J23="Alta",0.8,IF(J23="Muy Alta",1,))))))</f>
        <v>0.4</v>
      </c>
      <c r="L23" s="224" t="s">
        <v>138</v>
      </c>
      <c r="M23" s="221" t="str">
        <f>IF(NOT(ISERROR(MATCH(L23,'Tabla Impacto'!$B$221:$B$223,0))),'Tabla Impacto'!$F$223&amp;"Por favor no seleccionar los criterios de impacto(Afectación Económica o presupuestal y Pérdida Reputacional)",L23)</f>
        <v xml:space="preserve">     El riesgo afecta la imagen de la entidad con algunos usuarios de relevancia frente al logro de los objetivos</v>
      </c>
      <c r="N23" s="209" t="str">
        <f>IF(OR(M23='Tabla Impacto'!$C$11,M23='Tabla Impacto'!$D$11),"Leve",IF(OR(M23='Tabla Impacto'!$C$12,M23='Tabla Impacto'!$D$12),"Menor",IF(OR(M23='Tabla Impacto'!$C$13,M23='Tabla Impacto'!$D$13),"Moderado",IF(OR(M23='Tabla Impacto'!$C$14,M23='Tabla Impacto'!$D$14),"Mayor",IF(OR(M23='Tabla Impacto'!$C$15,M23='Tabla Impacto'!$D$15),"Catastrófico","")))))</f>
        <v>Moderado</v>
      </c>
      <c r="O23" s="221">
        <f>IF(N23="","",IF(N23="Leve",0.2,IF(N23="Menor",0.4,IF(N23="Moderado",0.6,IF(N23="Mayor",0.8,IF(N23="Catastrófico",1,))))))</f>
        <v>0.6</v>
      </c>
      <c r="P23" s="218" t="str">
        <f>IF(OR(AND(J23="Muy Baja",N23="Leve"),AND(J23="Muy Baja",N23="Menor"),AND(J23="Baja",N23="Leve")),"Bajo",IF(OR(AND(J23="Muy baja",N23="Moderado"),AND(J23="Baja",N23="Menor"),AND(J23="Baja",N23="Moderado"),AND(J23="Media",N23="Leve"),AND(J23="Media",N23="Menor"),AND(J23="Media",N23="Moderado"),AND(J23="Alta",N23="Leve"),AND(J23="Alta",N23="Menor")),"Moderado",IF(OR(AND(J23="Muy Baja",N23="Mayor"),AND(J23="Baja",N23="Mayor"),AND(J23="Media",N23="Mayor"),AND(J23="Alta",N23="Moderado"),AND(J23="Alta",N23="Mayor"),AND(J23="Muy Alta",N23="Leve"),AND(J23="Muy Alta",N23="Menor"),AND(J23="Muy Alta",N23="Moderado"),AND(J23="Muy Alta",N23="Mayor")),"Alto",IF(OR(AND(J23="Muy Baja",N23="Catastrófico"),AND(J23="Baja",N23="Catastrófico"),AND(J23="Media",N23="Catastrófico"),AND(J23="Alta",N23="Catastrófico"),AND(J23="Muy Alta",N23="Catastrófico")),"Extremo",""))))</f>
        <v>Moderado</v>
      </c>
      <c r="Q23" s="125">
        <v>1</v>
      </c>
      <c r="R23" s="126" t="s">
        <v>301</v>
      </c>
      <c r="S23" s="127" t="str">
        <f>IF(OR(T23="Preventivo",T23="Detectivo"),"Probabilidad",IF(T23="Correctivo","Impacto",""))</f>
        <v>Probabilidad</v>
      </c>
      <c r="T23" s="128" t="s">
        <v>13</v>
      </c>
      <c r="U23" s="128" t="s">
        <v>8</v>
      </c>
      <c r="V23" s="129" t="str">
        <f>IF(AND(T23="Preventivo",U23="Automático"),"50%",IF(AND(T23="Preventivo",U23="Manual"),"40%",IF(AND(T23="Detectivo",U23="Automático"),"40%",IF(AND(T23="Detectivo",U23="Manual"),"30%",IF(AND(T23="Correctivo",U23="Automático"),"35%",IF(AND(T23="Correctivo",U23="Manual"),"25%",""))))))</f>
        <v>40%</v>
      </c>
      <c r="W23" s="128" t="s">
        <v>19</v>
      </c>
      <c r="X23" s="128" t="s">
        <v>21</v>
      </c>
      <c r="Y23" s="128" t="s">
        <v>111</v>
      </c>
      <c r="Z23" s="130">
        <f>IFERROR(IF(S23="Probabilidad",(K23-(+K23*V23)),IF(S23="Impacto",K23,"")),"")</f>
        <v>0.24</v>
      </c>
      <c r="AA23" s="131" t="str">
        <f>IFERROR(IF(Z23="","",IF(Z23&lt;=0.2,"Muy Baja",IF(Z23&lt;=0.4,"Baja",IF(Z23&lt;=0.6,"Media",IF(Z23&lt;=0.8,"Alta","Muy Alta"))))),"")</f>
        <v>Baja</v>
      </c>
      <c r="AB23" s="132">
        <f>+Z23</f>
        <v>0.24</v>
      </c>
      <c r="AC23" s="131" t="str">
        <f>IFERROR(IF(AD23="","",IF(AD23&lt;=0.2,"Leve",IF(AD23&lt;=0.4,"Menor",IF(AD23&lt;=0.6,"Moderado",IF(AD23&lt;=0.8,"Mayor","Catastrófico"))))),"")</f>
        <v>Moderado</v>
      </c>
      <c r="AD23" s="140">
        <f>IFERROR(IF(S23="Impacto",(O23-(+O23*V23)),IF(S23="Probabilidad",O23,"")),"")</f>
        <v>0.6</v>
      </c>
      <c r="AE23" s="133" t="str">
        <f>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Moderado</v>
      </c>
      <c r="AF23" s="134"/>
      <c r="AG23" s="135"/>
      <c r="AH23" s="136"/>
      <c r="AI23" s="137"/>
      <c r="AJ23" s="137"/>
      <c r="AK23" s="135"/>
      <c r="AL23" s="13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173.4" customHeight="1" x14ac:dyDescent="0.25">
      <c r="A24" s="213"/>
      <c r="B24" s="216"/>
      <c r="C24" s="216"/>
      <c r="D24" s="142"/>
      <c r="E24" s="216"/>
      <c r="F24" s="242"/>
      <c r="G24" s="242"/>
      <c r="H24" s="216"/>
      <c r="I24" s="245"/>
      <c r="J24" s="210"/>
      <c r="K24" s="222"/>
      <c r="L24" s="225"/>
      <c r="M24" s="222">
        <f>IF(NOT(ISERROR(MATCH(L24,_xlfn.ANCHORARRAY(G35),0))),K37&amp;"Por favor no seleccionar los criterios de impacto",L24)</f>
        <v>0</v>
      </c>
      <c r="N24" s="210"/>
      <c r="O24" s="222"/>
      <c r="P24" s="219"/>
      <c r="Q24" s="125">
        <v>2</v>
      </c>
      <c r="R24" s="421" t="s">
        <v>302</v>
      </c>
      <c r="S24" s="127" t="str">
        <f>IF(OR(T24="Preventivo",T24="Detectivo"),"Probabilidad",IF(T24="Correctivo","Impacto",""))</f>
        <v>Impacto</v>
      </c>
      <c r="T24" s="128" t="s">
        <v>15</v>
      </c>
      <c r="U24" s="128" t="s">
        <v>8</v>
      </c>
      <c r="V24" s="129" t="str">
        <f>IF(AND(T24="Preventivo",U24="Automático"),"50%",IF(AND(T24="Preventivo",U24="Manual"),"40%",IF(AND(T24="Detectivo",U24="Automático"),"40%",IF(AND(T24="Detectivo",U24="Manual"),"30%",IF(AND(T24="Correctivo",U24="Automático"),"35%",IF(AND(T24="Correctivo",U24="Manual"),"25%",""))))))</f>
        <v>25%</v>
      </c>
      <c r="W24" s="128" t="s">
        <v>19</v>
      </c>
      <c r="X24" s="128" t="s">
        <v>21</v>
      </c>
      <c r="Y24" s="128" t="s">
        <v>111</v>
      </c>
      <c r="Z24" s="130">
        <f>IFERROR(IF(S24="Probabilidad",(K24-(+K24*V24)),IF(S24="Impacto",K24,"")),"")</f>
        <v>0</v>
      </c>
      <c r="AA24" s="131" t="str">
        <f t="shared" si="1"/>
        <v>Muy Baja</v>
      </c>
      <c r="AB24" s="132">
        <f t="shared" ref="AB24:AB28" si="15">+Z24</f>
        <v>0</v>
      </c>
      <c r="AC24" s="131" t="str">
        <f t="shared" si="3"/>
        <v>Moderado</v>
      </c>
      <c r="AD24" s="140">
        <f>IFERROR(IF(AND(S23="Impacto",S24="Impacto"),(AD23-(+AD23*V24)),IF(S24="Impacto",(O23-(+O23*V24)),IF(S24="Probabilidad",AD23,""))),"")</f>
        <v>0.44999999999999996</v>
      </c>
      <c r="AE24" s="133" t="str">
        <f t="shared" ref="AE24:AE25" si="16">IFERROR(IF(OR(AND(AA24="Muy Baja",AC24="Leve"),AND(AA24="Muy Baja",AC24="Menor"),AND(AA24="Baja",AC24="Leve")),"Bajo",IF(OR(AND(AA24="Muy baja",AC24="Moderado"),AND(AA24="Baja",AC24="Menor"),AND(AA24="Baja",AC24="Moderado"),AND(AA24="Media",AC24="Leve"),AND(AA24="Media",AC24="Menor"),AND(AA24="Media",AC24="Moderado"),AND(AA24="Alta",AC24="Leve"),AND(AA24="Alta",AC24="Menor")),"Moderado",IF(OR(AND(AA24="Muy Baja",AC24="Mayor"),AND(AA24="Baja",AC24="Mayor"),AND(AA24="Media",AC24="Mayor"),AND(AA24="Alta",AC24="Moderado"),AND(AA24="Alta",AC24="Mayor"),AND(AA24="Muy Alta",AC24="Leve"),AND(AA24="Muy Alta",AC24="Menor"),AND(AA24="Muy Alta",AC24="Moderado"),AND(AA24="Muy Alta",AC24="Mayor")),"Alto",IF(OR(AND(AA24="Muy Baja",AC24="Catastrófico"),AND(AA24="Baja",AC24="Catastrófico"),AND(AA24="Media",AC24="Catastrófico"),AND(AA24="Alta",AC24="Catastrófico"),AND(AA24="Muy Alta",AC24="Catastrófico")),"Extremo","")))),"")</f>
        <v>Moderado</v>
      </c>
      <c r="AF24" s="134"/>
      <c r="AG24" s="135"/>
      <c r="AH24" s="136"/>
      <c r="AI24" s="137"/>
      <c r="AJ24" s="137"/>
      <c r="AK24" s="135"/>
      <c r="AL24" s="13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151.19999999999999" customHeight="1" x14ac:dyDescent="0.25">
      <c r="A25" s="213"/>
      <c r="B25" s="216"/>
      <c r="C25" s="216"/>
      <c r="D25" s="142"/>
      <c r="E25" s="216"/>
      <c r="F25" s="242"/>
      <c r="G25" s="242"/>
      <c r="H25" s="216"/>
      <c r="I25" s="245"/>
      <c r="J25" s="210"/>
      <c r="K25" s="222"/>
      <c r="L25" s="225"/>
      <c r="M25" s="222">
        <f>IF(NOT(ISERROR(MATCH(L25,_xlfn.ANCHORARRAY(G36),0))),K38&amp;"Por favor no seleccionar los criterios de impacto",L25)</f>
        <v>0</v>
      </c>
      <c r="N25" s="210"/>
      <c r="O25" s="222"/>
      <c r="P25" s="219"/>
      <c r="Q25" s="125">
        <v>3</v>
      </c>
      <c r="R25" s="420"/>
      <c r="S25" s="127"/>
      <c r="T25" s="128"/>
      <c r="U25" s="128"/>
      <c r="V25" s="129" t="str">
        <f t="shared" ref="V25:V28" si="17">IF(AND(T25="Preventivo",U25="Automático"),"50%",IF(AND(T25="Preventivo",U25="Manual"),"40%",IF(AND(T25="Detectivo",U25="Automático"),"40%",IF(AND(T25="Detectivo",U25="Manual"),"30%",IF(AND(T25="Correctivo",U25="Automático"),"35%",IF(AND(T25="Correctivo",U25="Manual"),"25%",""))))))</f>
        <v/>
      </c>
      <c r="W25" s="128"/>
      <c r="X25" s="128"/>
      <c r="Y25" s="128"/>
      <c r="Z25" s="130" t="str">
        <f>IFERROR(IF(AND(S24="Probabilidad",S25="Probabilidad"),(AB24-(+AB24*V25)),IF(AND(S24="Impacto",S25="Probabilidad"),(AB23-(+AB23*V25)),IF(S25="Impacto",AB24,""))),"")</f>
        <v/>
      </c>
      <c r="AA25" s="131" t="str">
        <f t="shared" si="1"/>
        <v/>
      </c>
      <c r="AB25" s="132" t="str">
        <f t="shared" si="15"/>
        <v/>
      </c>
      <c r="AC25" s="131" t="str">
        <f t="shared" si="3"/>
        <v/>
      </c>
      <c r="AD25" s="140" t="str">
        <f>IFERROR(IF(AND(S24="Impacto",S25="Impacto"),(AD24-(+AD24*V25)),IF(AND(S24="Probabilidad",S25="Impacto"),(AD23-(+AD23*V25)),IF(S25="Probabilidad",AD24,""))),"")</f>
        <v/>
      </c>
      <c r="AE25" s="133" t="str">
        <f t="shared" si="16"/>
        <v/>
      </c>
      <c r="AF25" s="134"/>
      <c r="AG25" s="135"/>
      <c r="AH25" s="136"/>
      <c r="AI25" s="137"/>
      <c r="AJ25" s="137"/>
      <c r="AK25" s="135"/>
      <c r="AL25" s="13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0.399999999999999" customHeight="1" x14ac:dyDescent="0.25">
      <c r="A26" s="213"/>
      <c r="B26" s="216"/>
      <c r="C26" s="216"/>
      <c r="D26" s="142"/>
      <c r="E26" s="216"/>
      <c r="F26" s="242"/>
      <c r="G26" s="242"/>
      <c r="H26" s="216"/>
      <c r="I26" s="245"/>
      <c r="J26" s="210"/>
      <c r="K26" s="222"/>
      <c r="L26" s="225"/>
      <c r="M26" s="222">
        <f>IF(NOT(ISERROR(MATCH(L26,_xlfn.ANCHORARRAY(G37),0))),K39&amp;"Por favor no seleccionar los criterios de impacto",L26)</f>
        <v>0</v>
      </c>
      <c r="N26" s="210"/>
      <c r="O26" s="222"/>
      <c r="P26" s="219"/>
      <c r="Q26" s="125">
        <v>4</v>
      </c>
      <c r="R26" s="126"/>
      <c r="S26" s="127" t="str">
        <f t="shared" ref="S26:S28" si="18">IF(OR(T26="Preventivo",T26="Detectivo"),"Probabilidad",IF(T26="Correctivo","Impacto",""))</f>
        <v/>
      </c>
      <c r="T26" s="128"/>
      <c r="U26" s="128"/>
      <c r="V26" s="129" t="str">
        <f t="shared" si="17"/>
        <v/>
      </c>
      <c r="W26" s="128"/>
      <c r="X26" s="128"/>
      <c r="Y26" s="128"/>
      <c r="Z26" s="130" t="str">
        <f t="shared" ref="Z26:Z28" si="19">IFERROR(IF(AND(S25="Probabilidad",S26="Probabilidad"),(AB25-(+AB25*V26)),IF(AND(S25="Impacto",S26="Probabilidad"),(AB24-(+AB24*V26)),IF(S26="Impacto",AB25,""))),"")</f>
        <v/>
      </c>
      <c r="AA26" s="131" t="str">
        <f t="shared" si="1"/>
        <v/>
      </c>
      <c r="AB26" s="132" t="str">
        <f t="shared" si="15"/>
        <v/>
      </c>
      <c r="AC26" s="131" t="str">
        <f t="shared" si="3"/>
        <v/>
      </c>
      <c r="AD26" s="140" t="str">
        <f t="shared" ref="AD26:AD28" si="20">IFERROR(IF(AND(S25="Impacto",S26="Impacto"),(AD25-(+AD25*V26)),IF(AND(S25="Probabilidad",S26="Impacto"),(AD24-(+AD24*V26)),IF(S26="Probabilidad",AD25,""))),"")</f>
        <v/>
      </c>
      <c r="AE26" s="133" t="str">
        <f>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134"/>
      <c r="AG26" s="135"/>
      <c r="AH26" s="136"/>
      <c r="AI26" s="137"/>
      <c r="AJ26" s="137"/>
      <c r="AK26" s="135"/>
      <c r="AL26" s="13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3.4" customHeight="1" x14ac:dyDescent="0.25">
      <c r="A27" s="213"/>
      <c r="B27" s="216"/>
      <c r="C27" s="216"/>
      <c r="D27" s="142"/>
      <c r="E27" s="216"/>
      <c r="F27" s="242"/>
      <c r="G27" s="242"/>
      <c r="H27" s="216"/>
      <c r="I27" s="245"/>
      <c r="J27" s="210"/>
      <c r="K27" s="222"/>
      <c r="L27" s="225"/>
      <c r="M27" s="222">
        <f>IF(NOT(ISERROR(MATCH(L27,_xlfn.ANCHORARRAY(G38),0))),K40&amp;"Por favor no seleccionar los criterios de impacto",L27)</f>
        <v>0</v>
      </c>
      <c r="N27" s="210"/>
      <c r="O27" s="222"/>
      <c r="P27" s="219"/>
      <c r="Q27" s="125">
        <v>5</v>
      </c>
      <c r="R27" s="126"/>
      <c r="S27" s="127" t="str">
        <f t="shared" si="18"/>
        <v/>
      </c>
      <c r="T27" s="128"/>
      <c r="U27" s="128"/>
      <c r="V27" s="129" t="str">
        <f t="shared" si="17"/>
        <v/>
      </c>
      <c r="W27" s="128"/>
      <c r="X27" s="128"/>
      <c r="Y27" s="128"/>
      <c r="Z27" s="130" t="str">
        <f t="shared" si="19"/>
        <v/>
      </c>
      <c r="AA27" s="131" t="str">
        <f t="shared" si="1"/>
        <v/>
      </c>
      <c r="AB27" s="132" t="str">
        <f t="shared" si="15"/>
        <v/>
      </c>
      <c r="AC27" s="131" t="str">
        <f t="shared" si="3"/>
        <v/>
      </c>
      <c r="AD27" s="140" t="str">
        <f t="shared" si="20"/>
        <v/>
      </c>
      <c r="AE27" s="133" t="str">
        <f t="shared" ref="AE27:AE28" si="21">IFERROR(IF(OR(AND(AA27="Muy Baja",AC27="Leve"),AND(AA27="Muy Baja",AC27="Menor"),AND(AA27="Baja",AC27="Leve")),"Bajo",IF(OR(AND(AA27="Muy baja",AC27="Moderado"),AND(AA27="Baja",AC27="Menor"),AND(AA27="Baja",AC27="Moderado"),AND(AA27="Media",AC27="Leve"),AND(AA27="Media",AC27="Menor"),AND(AA27="Media",AC27="Moderado"),AND(AA27="Alta",AC27="Leve"),AND(AA27="Alta",AC27="Menor")),"Moderado",IF(OR(AND(AA27="Muy Baja",AC27="Mayor"),AND(AA27="Baja",AC27="Mayor"),AND(AA27="Media",AC27="Mayor"),AND(AA27="Alta",AC27="Moderado"),AND(AA27="Alta",AC27="Mayor"),AND(AA27="Muy Alta",AC27="Leve"),AND(AA27="Muy Alta",AC27="Menor"),AND(AA27="Muy Alta",AC27="Moderado"),AND(AA27="Muy Alta",AC27="Mayor")),"Alto",IF(OR(AND(AA27="Muy Baja",AC27="Catastrófico"),AND(AA27="Baja",AC27="Catastrófico"),AND(AA27="Media",AC27="Catastrófico"),AND(AA27="Alta",AC27="Catastrófico"),AND(AA27="Muy Alta",AC27="Catastrófico")),"Extremo","")))),"")</f>
        <v/>
      </c>
      <c r="AF27" s="134"/>
      <c r="AG27" s="135"/>
      <c r="AH27" s="136"/>
      <c r="AI27" s="137"/>
      <c r="AJ27" s="137"/>
      <c r="AK27" s="135"/>
      <c r="AL27" s="13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4" customHeight="1" x14ac:dyDescent="0.25">
      <c r="A28" s="214"/>
      <c r="B28" s="217"/>
      <c r="C28" s="217"/>
      <c r="D28" s="143"/>
      <c r="E28" s="217"/>
      <c r="F28" s="243"/>
      <c r="G28" s="243"/>
      <c r="H28" s="217"/>
      <c r="I28" s="246"/>
      <c r="J28" s="211"/>
      <c r="K28" s="223"/>
      <c r="L28" s="226"/>
      <c r="M28" s="223">
        <f>IF(NOT(ISERROR(MATCH(L28,_xlfn.ANCHORARRAY(G39),0))),K41&amp;"Por favor no seleccionar los criterios de impacto",L28)</f>
        <v>0</v>
      </c>
      <c r="N28" s="211"/>
      <c r="O28" s="223"/>
      <c r="P28" s="220"/>
      <c r="Q28" s="125">
        <v>6</v>
      </c>
      <c r="R28" s="126"/>
      <c r="S28" s="127" t="str">
        <f t="shared" si="18"/>
        <v/>
      </c>
      <c r="T28" s="128"/>
      <c r="U28" s="128"/>
      <c r="V28" s="129" t="str">
        <f t="shared" si="17"/>
        <v/>
      </c>
      <c r="W28" s="128"/>
      <c r="X28" s="128"/>
      <c r="Y28" s="128"/>
      <c r="Z28" s="130" t="str">
        <f t="shared" si="19"/>
        <v/>
      </c>
      <c r="AA28" s="131" t="str">
        <f t="shared" si="1"/>
        <v/>
      </c>
      <c r="AB28" s="132" t="str">
        <f t="shared" si="15"/>
        <v/>
      </c>
      <c r="AC28" s="131" t="str">
        <f t="shared" si="3"/>
        <v/>
      </c>
      <c r="AD28" s="140" t="str">
        <f t="shared" si="20"/>
        <v/>
      </c>
      <c r="AE28" s="133" t="str">
        <f t="shared" si="21"/>
        <v/>
      </c>
      <c r="AF28" s="134"/>
      <c r="AG28" s="135"/>
      <c r="AH28" s="136"/>
      <c r="AI28" s="137"/>
      <c r="AJ28" s="137"/>
      <c r="AK28" s="135"/>
      <c r="AL28" s="13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151.5" customHeight="1" x14ac:dyDescent="0.25">
      <c r="A29" s="212">
        <v>4</v>
      </c>
      <c r="B29" s="215"/>
      <c r="C29" s="215"/>
      <c r="D29" s="141"/>
      <c r="E29" s="215"/>
      <c r="F29" s="241"/>
      <c r="G29" s="241"/>
      <c r="H29" s="215"/>
      <c r="I29" s="244"/>
      <c r="J29" s="209" t="str">
        <f>IF(I29&lt;=0,"",IF(I29&lt;=2,"Muy Baja",IF(I29&lt;=24,"Baja",IF(I29&lt;=500,"Media",IF(I29&lt;=5000,"Alta","Muy Alta")))))</f>
        <v/>
      </c>
      <c r="K29" s="221" t="str">
        <f>IF(J29="","",IF(J29="Muy Baja",0.2,IF(J29="Baja",0.4,IF(J29="Media",0.6,IF(J29="Alta",0.8,IF(J29="Muy Alta",1,))))))</f>
        <v/>
      </c>
      <c r="L29" s="224"/>
      <c r="M29" s="221">
        <f>IF(NOT(ISERROR(MATCH(L29,'Tabla Impacto'!$B$221:$B$223,0))),'Tabla Impacto'!$F$223&amp;"Por favor no seleccionar los criterios de impacto(Afectación Económica o presupuestal y Pérdida Reputacional)",L29)</f>
        <v>0</v>
      </c>
      <c r="N29" s="209" t="str">
        <f>IF(OR(M29='Tabla Impacto'!$C$11,M29='Tabla Impacto'!$D$11),"Leve",IF(OR(M29='Tabla Impacto'!$C$12,M29='Tabla Impacto'!$D$12),"Menor",IF(OR(M29='Tabla Impacto'!$C$13,M29='Tabla Impacto'!$D$13),"Moderado",IF(OR(M29='Tabla Impacto'!$C$14,M29='Tabla Impacto'!$D$14),"Mayor",IF(OR(M29='Tabla Impacto'!$C$15,M29='Tabla Impacto'!$D$15),"Catastrófico","")))))</f>
        <v/>
      </c>
      <c r="O29" s="221" t="str">
        <f>IF(N29="","",IF(N29="Leve",0.2,IF(N29="Menor",0.4,IF(N29="Moderado",0.6,IF(N29="Mayor",0.8,IF(N29="Catastrófico",1,))))))</f>
        <v/>
      </c>
      <c r="P29" s="218" t="str">
        <f>IF(OR(AND(J29="Muy Baja",N29="Leve"),AND(J29="Muy Baja",N29="Menor"),AND(J29="Baja",N29="Leve")),"Bajo",IF(OR(AND(J29="Muy baja",N29="Moderado"),AND(J29="Baja",N29="Menor"),AND(J29="Baja",N29="Moderado"),AND(J29="Media",N29="Leve"),AND(J29="Media",N29="Menor"),AND(J29="Media",N29="Moderado"),AND(J29="Alta",N29="Leve"),AND(J29="Alta",N29="Menor")),"Moderado",IF(OR(AND(J29="Muy Baja",N29="Mayor"),AND(J29="Baja",N29="Mayor"),AND(J29="Media",N29="Mayor"),AND(J29="Alta",N29="Moderado"),AND(J29="Alta",N29="Mayor"),AND(J29="Muy Alta",N29="Leve"),AND(J29="Muy Alta",N29="Menor"),AND(J29="Muy Alta",N29="Moderado"),AND(J29="Muy Alta",N29="Mayor")),"Alto",IF(OR(AND(J29="Muy Baja",N29="Catastrófico"),AND(J29="Baja",N29="Catastrófico"),AND(J29="Media",N29="Catastrófico"),AND(J29="Alta",N29="Catastrófico"),AND(J29="Muy Alta",N29="Catastrófico")),"Extremo",""))))</f>
        <v/>
      </c>
      <c r="Q29" s="125">
        <v>1</v>
      </c>
      <c r="R29" s="126"/>
      <c r="S29" s="127" t="str">
        <f>IF(OR(T29="Preventivo",T29="Detectivo"),"Probabilidad",IF(T29="Correctivo","Impacto",""))</f>
        <v/>
      </c>
      <c r="T29" s="128"/>
      <c r="U29" s="128"/>
      <c r="V29" s="129" t="str">
        <f>IF(AND(T29="Preventivo",U29="Automático"),"50%",IF(AND(T29="Preventivo",U29="Manual"),"40%",IF(AND(T29="Detectivo",U29="Automático"),"40%",IF(AND(T29="Detectivo",U29="Manual"),"30%",IF(AND(T29="Correctivo",U29="Automático"),"35%",IF(AND(T29="Correctivo",U29="Manual"),"25%",""))))))</f>
        <v/>
      </c>
      <c r="W29" s="128"/>
      <c r="X29" s="128"/>
      <c r="Y29" s="128"/>
      <c r="Z29" s="130" t="str">
        <f>IFERROR(IF(S29="Probabilidad",(K29-(+K29*V29)),IF(S29="Impacto",K29,"")),"")</f>
        <v/>
      </c>
      <c r="AA29" s="131" t="str">
        <f>IFERROR(IF(Z29="","",IF(Z29&lt;=0.2,"Muy Baja",IF(Z29&lt;=0.4,"Baja",IF(Z29&lt;=0.6,"Media",IF(Z29&lt;=0.8,"Alta","Muy Alta"))))),"")</f>
        <v/>
      </c>
      <c r="AB29" s="132" t="str">
        <f>+Z29</f>
        <v/>
      </c>
      <c r="AC29" s="131" t="str">
        <f>IFERROR(IF(AD29="","",IF(AD29&lt;=0.2,"Leve",IF(AD29&lt;=0.4,"Menor",IF(AD29&lt;=0.6,"Moderado",IF(AD29&lt;=0.8,"Mayor","Catastrófico"))))),"")</f>
        <v/>
      </c>
      <c r="AD29" s="140" t="str">
        <f>IFERROR(IF(S29="Impacto",(O29-(+O29*V29)),IF(S29="Probabilidad",O29,"")),"")</f>
        <v/>
      </c>
      <c r="AE29" s="133" t="str">
        <f>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34"/>
      <c r="AG29" s="135"/>
      <c r="AH29" s="136"/>
      <c r="AI29" s="137"/>
      <c r="AJ29" s="137"/>
      <c r="AK29" s="135"/>
      <c r="AL29" s="13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151.5" customHeight="1" x14ac:dyDescent="0.25">
      <c r="A30" s="213"/>
      <c r="B30" s="216"/>
      <c r="C30" s="216"/>
      <c r="D30" s="142"/>
      <c r="E30" s="216"/>
      <c r="F30" s="242"/>
      <c r="G30" s="242"/>
      <c r="H30" s="216"/>
      <c r="I30" s="245"/>
      <c r="J30" s="210"/>
      <c r="K30" s="222"/>
      <c r="L30" s="225"/>
      <c r="M30" s="222">
        <f>IF(NOT(ISERROR(MATCH(L30,_xlfn.ANCHORARRAY(G41),0))),K43&amp;"Por favor no seleccionar los criterios de impacto",L30)</f>
        <v>0</v>
      </c>
      <c r="N30" s="210"/>
      <c r="O30" s="222"/>
      <c r="P30" s="219"/>
      <c r="Q30" s="125">
        <v>2</v>
      </c>
      <c r="R30" s="126"/>
      <c r="S30" s="127" t="str">
        <f>IF(OR(T30="Preventivo",T30="Detectivo"),"Probabilidad",IF(T30="Correctivo","Impacto",""))</f>
        <v/>
      </c>
      <c r="T30" s="128"/>
      <c r="U30" s="128"/>
      <c r="V30" s="129" t="str">
        <f t="shared" ref="V30:V34" si="22">IF(AND(T30="Preventivo",U30="Automático"),"50%",IF(AND(T30="Preventivo",U30="Manual"),"40%",IF(AND(T30="Detectivo",U30="Automático"),"40%",IF(AND(T30="Detectivo",U30="Manual"),"30%",IF(AND(T30="Correctivo",U30="Automático"),"35%",IF(AND(T30="Correctivo",U30="Manual"),"25%",""))))))</f>
        <v/>
      </c>
      <c r="W30" s="128"/>
      <c r="X30" s="128"/>
      <c r="Y30" s="128"/>
      <c r="Z30" s="130" t="str">
        <f>IFERROR(IF(AND(S29="Probabilidad",S30="Probabilidad"),(AB29-(+AB29*V30)),IF(S30="Probabilidad",(K29-(+K29*V30)),IF(S30="Impacto",AB29,""))),"")</f>
        <v/>
      </c>
      <c r="AA30" s="131" t="str">
        <f t="shared" si="1"/>
        <v/>
      </c>
      <c r="AB30" s="132" t="str">
        <f t="shared" ref="AB30:AB34" si="23">+Z30</f>
        <v/>
      </c>
      <c r="AC30" s="131" t="str">
        <f t="shared" si="3"/>
        <v/>
      </c>
      <c r="AD30" s="140" t="str">
        <f>IFERROR(IF(AND(S29="Impacto",S30="Impacto"),(AD29-(+AD29*V30)),IF(S30="Impacto",(O29-(+O29*V30)),IF(S30="Probabilidad",AD29,""))),"")</f>
        <v/>
      </c>
      <c r="AE30" s="133" t="str">
        <f t="shared" ref="AE30:AE31" si="24">IFERROR(IF(OR(AND(AA30="Muy Baja",AC30="Leve"),AND(AA30="Muy Baja",AC30="Menor"),AND(AA30="Baja",AC30="Leve")),"Bajo",IF(OR(AND(AA30="Muy baja",AC30="Moderado"),AND(AA30="Baja",AC30="Menor"),AND(AA30="Baja",AC30="Moderado"),AND(AA30="Media",AC30="Leve"),AND(AA30="Media",AC30="Menor"),AND(AA30="Media",AC30="Moderado"),AND(AA30="Alta",AC30="Leve"),AND(AA30="Alta",AC30="Menor")),"Moderado",IF(OR(AND(AA30="Muy Baja",AC30="Mayor"),AND(AA30="Baja",AC30="Mayor"),AND(AA30="Media",AC30="Mayor"),AND(AA30="Alta",AC30="Moderado"),AND(AA30="Alta",AC30="Mayor"),AND(AA30="Muy Alta",AC30="Leve"),AND(AA30="Muy Alta",AC30="Menor"),AND(AA30="Muy Alta",AC30="Moderado"),AND(AA30="Muy Alta",AC30="Mayor")),"Alto",IF(OR(AND(AA30="Muy Baja",AC30="Catastrófico"),AND(AA30="Baja",AC30="Catastrófico"),AND(AA30="Media",AC30="Catastrófico"),AND(AA30="Alta",AC30="Catastrófico"),AND(AA30="Muy Alta",AC30="Catastrófico")),"Extremo","")))),"")</f>
        <v/>
      </c>
      <c r="AF30" s="134"/>
      <c r="AG30" s="135"/>
      <c r="AH30" s="136"/>
      <c r="AI30" s="137"/>
      <c r="AJ30" s="137"/>
      <c r="AK30" s="135"/>
      <c r="AL30" s="13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151.5" customHeight="1" x14ac:dyDescent="0.25">
      <c r="A31" s="213"/>
      <c r="B31" s="216"/>
      <c r="C31" s="216"/>
      <c r="D31" s="142"/>
      <c r="E31" s="216"/>
      <c r="F31" s="242"/>
      <c r="G31" s="242"/>
      <c r="H31" s="216"/>
      <c r="I31" s="245"/>
      <c r="J31" s="210"/>
      <c r="K31" s="222"/>
      <c r="L31" s="225"/>
      <c r="M31" s="222">
        <f>IF(NOT(ISERROR(MATCH(L31,_xlfn.ANCHORARRAY(G42),0))),K44&amp;"Por favor no seleccionar los criterios de impacto",L31)</f>
        <v>0</v>
      </c>
      <c r="N31" s="210"/>
      <c r="O31" s="222"/>
      <c r="P31" s="219"/>
      <c r="Q31" s="125">
        <v>3</v>
      </c>
      <c r="R31" s="138"/>
      <c r="S31" s="127" t="str">
        <f>IF(OR(T31="Preventivo",T31="Detectivo"),"Probabilidad",IF(T31="Correctivo","Impacto",""))</f>
        <v/>
      </c>
      <c r="T31" s="128"/>
      <c r="U31" s="128"/>
      <c r="V31" s="129" t="str">
        <f t="shared" si="22"/>
        <v/>
      </c>
      <c r="W31" s="128"/>
      <c r="X31" s="128"/>
      <c r="Y31" s="128"/>
      <c r="Z31" s="130" t="str">
        <f>IFERROR(IF(AND(S30="Probabilidad",S31="Probabilidad"),(AB30-(+AB30*V31)),IF(AND(S30="Impacto",S31="Probabilidad"),(AB29-(+AB29*V31)),IF(S31="Impacto",AB30,""))),"")</f>
        <v/>
      </c>
      <c r="AA31" s="131" t="str">
        <f t="shared" si="1"/>
        <v/>
      </c>
      <c r="AB31" s="132" t="str">
        <f t="shared" si="23"/>
        <v/>
      </c>
      <c r="AC31" s="131" t="str">
        <f t="shared" si="3"/>
        <v/>
      </c>
      <c r="AD31" s="140" t="str">
        <f>IFERROR(IF(AND(S30="Impacto",S31="Impacto"),(AD30-(+AD30*V31)),IF(AND(S30="Probabilidad",S31="Impacto"),(AD29-(+AD29*V31)),IF(S31="Probabilidad",AD30,""))),"")</f>
        <v/>
      </c>
      <c r="AE31" s="133" t="str">
        <f t="shared" si="24"/>
        <v/>
      </c>
      <c r="AF31" s="134"/>
      <c r="AG31" s="135"/>
      <c r="AH31" s="136"/>
      <c r="AI31" s="137"/>
      <c r="AJ31" s="137"/>
      <c r="AK31" s="135"/>
      <c r="AL31" s="13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151.5" customHeight="1" x14ac:dyDescent="0.25">
      <c r="A32" s="213"/>
      <c r="B32" s="216"/>
      <c r="C32" s="216"/>
      <c r="D32" s="142"/>
      <c r="E32" s="216"/>
      <c r="F32" s="242"/>
      <c r="G32" s="242"/>
      <c r="H32" s="216"/>
      <c r="I32" s="245"/>
      <c r="J32" s="210"/>
      <c r="K32" s="222"/>
      <c r="L32" s="225"/>
      <c r="M32" s="222">
        <f>IF(NOT(ISERROR(MATCH(L32,_xlfn.ANCHORARRAY(G43),0))),K45&amp;"Por favor no seleccionar los criterios de impacto",L32)</f>
        <v>0</v>
      </c>
      <c r="N32" s="210"/>
      <c r="O32" s="222"/>
      <c r="P32" s="219"/>
      <c r="Q32" s="125">
        <v>4</v>
      </c>
      <c r="R32" s="126"/>
      <c r="S32" s="127" t="str">
        <f t="shared" ref="S32:S34" si="25">IF(OR(T32="Preventivo",T32="Detectivo"),"Probabilidad",IF(T32="Correctivo","Impacto",""))</f>
        <v/>
      </c>
      <c r="T32" s="128"/>
      <c r="U32" s="128"/>
      <c r="V32" s="129" t="str">
        <f t="shared" si="22"/>
        <v/>
      </c>
      <c r="W32" s="128"/>
      <c r="X32" s="128"/>
      <c r="Y32" s="128"/>
      <c r="Z32" s="130" t="str">
        <f t="shared" ref="Z32:Z34" si="26">IFERROR(IF(AND(S31="Probabilidad",S32="Probabilidad"),(AB31-(+AB31*V32)),IF(AND(S31="Impacto",S32="Probabilidad"),(AB30-(+AB30*V32)),IF(S32="Impacto",AB31,""))),"")</f>
        <v/>
      </c>
      <c r="AA32" s="131" t="str">
        <f t="shared" si="1"/>
        <v/>
      </c>
      <c r="AB32" s="132" t="str">
        <f t="shared" si="23"/>
        <v/>
      </c>
      <c r="AC32" s="131" t="str">
        <f t="shared" si="3"/>
        <v/>
      </c>
      <c r="AD32" s="140" t="str">
        <f t="shared" ref="AD32:AD34" si="27">IFERROR(IF(AND(S31="Impacto",S32="Impacto"),(AD31-(+AD31*V32)),IF(AND(S31="Probabilidad",S32="Impacto"),(AD30-(+AD30*V32)),IF(S32="Probabilidad",AD31,""))),"")</f>
        <v/>
      </c>
      <c r="AE32" s="133" t="str">
        <f>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34"/>
      <c r="AG32" s="135"/>
      <c r="AH32" s="136"/>
      <c r="AI32" s="137"/>
      <c r="AJ32" s="137"/>
      <c r="AK32" s="135"/>
      <c r="AL32" s="13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151.5" customHeight="1" x14ac:dyDescent="0.25">
      <c r="A33" s="213"/>
      <c r="B33" s="216"/>
      <c r="C33" s="216"/>
      <c r="D33" s="142"/>
      <c r="E33" s="216"/>
      <c r="F33" s="242"/>
      <c r="G33" s="242"/>
      <c r="H33" s="216"/>
      <c r="I33" s="245"/>
      <c r="J33" s="210"/>
      <c r="K33" s="222"/>
      <c r="L33" s="225"/>
      <c r="M33" s="222">
        <f>IF(NOT(ISERROR(MATCH(L33,_xlfn.ANCHORARRAY(G44),0))),K46&amp;"Por favor no seleccionar los criterios de impacto",L33)</f>
        <v>0</v>
      </c>
      <c r="N33" s="210"/>
      <c r="O33" s="222"/>
      <c r="P33" s="219"/>
      <c r="Q33" s="125">
        <v>5</v>
      </c>
      <c r="R33" s="126"/>
      <c r="S33" s="127" t="str">
        <f t="shared" si="25"/>
        <v/>
      </c>
      <c r="T33" s="128"/>
      <c r="U33" s="128"/>
      <c r="V33" s="129" t="str">
        <f t="shared" si="22"/>
        <v/>
      </c>
      <c r="W33" s="128"/>
      <c r="X33" s="128"/>
      <c r="Y33" s="128"/>
      <c r="Z33" s="139" t="str">
        <f t="shared" si="26"/>
        <v/>
      </c>
      <c r="AA33" s="131" t="str">
        <f>IFERROR(IF(Z33="","",IF(Z33&lt;=0.2,"Muy Baja",IF(Z33&lt;=0.4,"Baja",IF(Z33&lt;=0.6,"Media",IF(Z33&lt;=0.8,"Alta","Muy Alta"))))),"")</f>
        <v/>
      </c>
      <c r="AB33" s="132" t="str">
        <f t="shared" si="23"/>
        <v/>
      </c>
      <c r="AC33" s="131" t="str">
        <f t="shared" si="3"/>
        <v/>
      </c>
      <c r="AD33" s="140" t="str">
        <f t="shared" si="27"/>
        <v/>
      </c>
      <c r="AE33" s="133" t="str">
        <f t="shared" ref="AE33:AE34" si="28">IFERROR(IF(OR(AND(AA33="Muy Baja",AC33="Leve"),AND(AA33="Muy Baja",AC33="Menor"),AND(AA33="Baja",AC33="Leve")),"Bajo",IF(OR(AND(AA33="Muy baja",AC33="Moderado"),AND(AA33="Baja",AC33="Menor"),AND(AA33="Baja",AC33="Moderado"),AND(AA33="Media",AC33="Leve"),AND(AA33="Media",AC33="Menor"),AND(AA33="Media",AC33="Moderado"),AND(AA33="Alta",AC33="Leve"),AND(AA33="Alta",AC33="Menor")),"Moderado",IF(OR(AND(AA33="Muy Baja",AC33="Mayor"),AND(AA33="Baja",AC33="Mayor"),AND(AA33="Media",AC33="Mayor"),AND(AA33="Alta",AC33="Moderado"),AND(AA33="Alta",AC33="Mayor"),AND(AA33="Muy Alta",AC33="Leve"),AND(AA33="Muy Alta",AC33="Menor"),AND(AA33="Muy Alta",AC33="Moderado"),AND(AA33="Muy Alta",AC33="Mayor")),"Alto",IF(OR(AND(AA33="Muy Baja",AC33="Catastrófico"),AND(AA33="Baja",AC33="Catastrófico"),AND(AA33="Media",AC33="Catastrófico"),AND(AA33="Alta",AC33="Catastrófico"),AND(AA33="Muy Alta",AC33="Catastrófico")),"Extremo","")))),"")</f>
        <v/>
      </c>
      <c r="AF33" s="134"/>
      <c r="AG33" s="135"/>
      <c r="AH33" s="136"/>
      <c r="AI33" s="137"/>
      <c r="AJ33" s="137"/>
      <c r="AK33" s="135"/>
      <c r="AL33" s="13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151.5" customHeight="1" x14ac:dyDescent="0.25">
      <c r="A34" s="214"/>
      <c r="B34" s="217"/>
      <c r="C34" s="217"/>
      <c r="D34" s="143"/>
      <c r="E34" s="217"/>
      <c r="F34" s="243"/>
      <c r="G34" s="243"/>
      <c r="H34" s="217"/>
      <c r="I34" s="246"/>
      <c r="J34" s="211"/>
      <c r="K34" s="223"/>
      <c r="L34" s="226"/>
      <c r="M34" s="223">
        <f>IF(NOT(ISERROR(MATCH(L34,_xlfn.ANCHORARRAY(G45),0))),K47&amp;"Por favor no seleccionar los criterios de impacto",L34)</f>
        <v>0</v>
      </c>
      <c r="N34" s="211"/>
      <c r="O34" s="223"/>
      <c r="P34" s="220"/>
      <c r="Q34" s="125">
        <v>6</v>
      </c>
      <c r="R34" s="126"/>
      <c r="S34" s="127" t="str">
        <f t="shared" si="25"/>
        <v/>
      </c>
      <c r="T34" s="128"/>
      <c r="U34" s="128"/>
      <c r="V34" s="129" t="str">
        <f t="shared" si="22"/>
        <v/>
      </c>
      <c r="W34" s="128"/>
      <c r="X34" s="128"/>
      <c r="Y34" s="128"/>
      <c r="Z34" s="130" t="str">
        <f t="shared" si="26"/>
        <v/>
      </c>
      <c r="AA34" s="131" t="str">
        <f t="shared" si="1"/>
        <v/>
      </c>
      <c r="AB34" s="132" t="str">
        <f t="shared" si="23"/>
        <v/>
      </c>
      <c r="AC34" s="131" t="str">
        <f t="shared" si="3"/>
        <v/>
      </c>
      <c r="AD34" s="140" t="str">
        <f t="shared" si="27"/>
        <v/>
      </c>
      <c r="AE34" s="133" t="str">
        <f t="shared" si="28"/>
        <v/>
      </c>
      <c r="AF34" s="134"/>
      <c r="AG34" s="135"/>
      <c r="AH34" s="136"/>
      <c r="AI34" s="137"/>
      <c r="AJ34" s="137"/>
      <c r="AK34" s="135"/>
      <c r="AL34" s="13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151.5" customHeight="1" x14ac:dyDescent="0.25">
      <c r="A35" s="212">
        <v>5</v>
      </c>
      <c r="B35" s="215"/>
      <c r="C35" s="215"/>
      <c r="D35" s="141"/>
      <c r="E35" s="215"/>
      <c r="F35" s="241"/>
      <c r="G35" s="241"/>
      <c r="H35" s="215"/>
      <c r="I35" s="244"/>
      <c r="J35" s="209" t="str">
        <f>IF(I35&lt;=0,"",IF(I35&lt;=2,"Muy Baja",IF(I35&lt;=24,"Baja",IF(I35&lt;=500,"Media",IF(I35&lt;=5000,"Alta","Muy Alta")))))</f>
        <v/>
      </c>
      <c r="K35" s="221" t="str">
        <f>IF(J35="","",IF(J35="Muy Baja",0.2,IF(J35="Baja",0.4,IF(J35="Media",0.6,IF(J35="Alta",0.8,IF(J35="Muy Alta",1,))))))</f>
        <v/>
      </c>
      <c r="L35" s="224"/>
      <c r="M35" s="221">
        <f>IF(NOT(ISERROR(MATCH(L35,'Tabla Impacto'!$B$221:$B$223,0))),'Tabla Impacto'!$F$223&amp;"Por favor no seleccionar los criterios de impacto(Afectación Económica o presupuestal y Pérdida Reputacional)",L35)</f>
        <v>0</v>
      </c>
      <c r="N35" s="209" t="str">
        <f>IF(OR(M35='Tabla Impacto'!$C$11,M35='Tabla Impacto'!$D$11),"Leve",IF(OR(M35='Tabla Impacto'!$C$12,M35='Tabla Impacto'!$D$12),"Menor",IF(OR(M35='Tabla Impacto'!$C$13,M35='Tabla Impacto'!$D$13),"Moderado",IF(OR(M35='Tabla Impacto'!$C$14,M35='Tabla Impacto'!$D$14),"Mayor",IF(OR(M35='Tabla Impacto'!$C$15,M35='Tabla Impacto'!$D$15),"Catastrófico","")))))</f>
        <v/>
      </c>
      <c r="O35" s="221" t="str">
        <f>IF(N35="","",IF(N35="Leve",0.2,IF(N35="Menor",0.4,IF(N35="Moderado",0.6,IF(N35="Mayor",0.8,IF(N35="Catastrófico",1,))))))</f>
        <v/>
      </c>
      <c r="P35" s="218" t="str">
        <f>IF(OR(AND(J35="Muy Baja",N35="Leve"),AND(J35="Muy Baja",N35="Menor"),AND(J35="Baja",N35="Leve")),"Bajo",IF(OR(AND(J35="Muy baja",N35="Moderado"),AND(J35="Baja",N35="Menor"),AND(J35="Baja",N35="Moderado"),AND(J35="Media",N35="Leve"),AND(J35="Media",N35="Menor"),AND(J35="Media",N35="Moderado"),AND(J35="Alta",N35="Leve"),AND(J35="Alta",N35="Menor")),"Moderado",IF(OR(AND(J35="Muy Baja",N35="Mayor"),AND(J35="Baja",N35="Mayor"),AND(J35="Media",N35="Mayor"),AND(J35="Alta",N35="Moderado"),AND(J35="Alta",N35="Mayor"),AND(J35="Muy Alta",N35="Leve"),AND(J35="Muy Alta",N35="Menor"),AND(J35="Muy Alta",N35="Moderado"),AND(J35="Muy Alta",N35="Mayor")),"Alto",IF(OR(AND(J35="Muy Baja",N35="Catastrófico"),AND(J35="Baja",N35="Catastrófico"),AND(J35="Media",N35="Catastrófico"),AND(J35="Alta",N35="Catastrófico"),AND(J35="Muy Alta",N35="Catastrófico")),"Extremo",""))))</f>
        <v/>
      </c>
      <c r="Q35" s="125">
        <v>1</v>
      </c>
      <c r="R35" s="126"/>
      <c r="S35" s="127" t="str">
        <f>IF(OR(T35="Preventivo",T35="Detectivo"),"Probabilidad",IF(T35="Correctivo","Impacto",""))</f>
        <v/>
      </c>
      <c r="T35" s="128"/>
      <c r="U35" s="128"/>
      <c r="V35" s="129" t="str">
        <f>IF(AND(T35="Preventivo",U35="Automático"),"50%",IF(AND(T35="Preventivo",U35="Manual"),"40%",IF(AND(T35="Detectivo",U35="Automático"),"40%",IF(AND(T35="Detectivo",U35="Manual"),"30%",IF(AND(T35="Correctivo",U35="Automático"),"35%",IF(AND(T35="Correctivo",U35="Manual"),"25%",""))))))</f>
        <v/>
      </c>
      <c r="W35" s="128"/>
      <c r="X35" s="128"/>
      <c r="Y35" s="128"/>
      <c r="Z35" s="130" t="str">
        <f>IFERROR(IF(S35="Probabilidad",(K35-(+K35*V35)),IF(S35="Impacto",K35,"")),"")</f>
        <v/>
      </c>
      <c r="AA35" s="131" t="str">
        <f>IFERROR(IF(Z35="","",IF(Z35&lt;=0.2,"Muy Baja",IF(Z35&lt;=0.4,"Baja",IF(Z35&lt;=0.6,"Media",IF(Z35&lt;=0.8,"Alta","Muy Alta"))))),"")</f>
        <v/>
      </c>
      <c r="AB35" s="132" t="str">
        <f>+Z35</f>
        <v/>
      </c>
      <c r="AC35" s="131" t="str">
        <f>IFERROR(IF(AD35="","",IF(AD35&lt;=0.2,"Leve",IF(AD35&lt;=0.4,"Menor",IF(AD35&lt;=0.6,"Moderado",IF(AD35&lt;=0.8,"Mayor","Catastrófico"))))),"")</f>
        <v/>
      </c>
      <c r="AD35" s="140" t="str">
        <f>IFERROR(IF(S35="Impacto",(O35-(+O35*V35)),IF(S35="Probabilidad",O35,"")),"")</f>
        <v/>
      </c>
      <c r="AE35" s="133" t="str">
        <f>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34"/>
      <c r="AG35" s="135"/>
      <c r="AH35" s="136"/>
      <c r="AI35" s="137"/>
      <c r="AJ35" s="137"/>
      <c r="AK35" s="135"/>
      <c r="AL35" s="13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151.5" customHeight="1" x14ac:dyDescent="0.25">
      <c r="A36" s="213"/>
      <c r="B36" s="216"/>
      <c r="C36" s="216"/>
      <c r="D36" s="142"/>
      <c r="E36" s="216"/>
      <c r="F36" s="242"/>
      <c r="G36" s="242"/>
      <c r="H36" s="216"/>
      <c r="I36" s="245"/>
      <c r="J36" s="210"/>
      <c r="K36" s="222"/>
      <c r="L36" s="225"/>
      <c r="M36" s="222">
        <f>IF(NOT(ISERROR(MATCH(L36,_xlfn.ANCHORARRAY(G47),0))),K49&amp;"Por favor no seleccionar los criterios de impacto",L36)</f>
        <v>0</v>
      </c>
      <c r="N36" s="210"/>
      <c r="O36" s="222"/>
      <c r="P36" s="219"/>
      <c r="Q36" s="125">
        <v>2</v>
      </c>
      <c r="R36" s="126"/>
      <c r="S36" s="127" t="str">
        <f>IF(OR(T36="Preventivo",T36="Detectivo"),"Probabilidad",IF(T36="Correctivo","Impacto",""))</f>
        <v/>
      </c>
      <c r="T36" s="128"/>
      <c r="U36" s="128"/>
      <c r="V36" s="129" t="str">
        <f t="shared" ref="V36:V40" si="29">IF(AND(T36="Preventivo",U36="Automático"),"50%",IF(AND(T36="Preventivo",U36="Manual"),"40%",IF(AND(T36="Detectivo",U36="Automático"),"40%",IF(AND(T36="Detectivo",U36="Manual"),"30%",IF(AND(T36="Correctivo",U36="Automático"),"35%",IF(AND(T36="Correctivo",U36="Manual"),"25%",""))))))</f>
        <v/>
      </c>
      <c r="W36" s="128"/>
      <c r="X36" s="128"/>
      <c r="Y36" s="128"/>
      <c r="Z36" s="130" t="str">
        <f>IFERROR(IF(AND(S35="Probabilidad",S36="Probabilidad"),(AB35-(+AB35*V36)),IF(S36="Probabilidad",(K35-(+K35*V36)),IF(S36="Impacto",AB35,""))),"")</f>
        <v/>
      </c>
      <c r="AA36" s="131" t="str">
        <f t="shared" si="1"/>
        <v/>
      </c>
      <c r="AB36" s="132" t="str">
        <f t="shared" ref="AB36:AB40" si="30">+Z36</f>
        <v/>
      </c>
      <c r="AC36" s="131" t="str">
        <f t="shared" si="3"/>
        <v/>
      </c>
      <c r="AD36" s="140" t="str">
        <f>IFERROR(IF(AND(S35="Impacto",S36="Impacto"),(AD35-(+AD35*V36)),IF(S36="Impacto",(O35-(+O35*V36)),IF(S36="Probabilidad",AD35,""))),"")</f>
        <v/>
      </c>
      <c r="AE36" s="133" t="str">
        <f t="shared" ref="AE36:AE37" si="31">IFERROR(IF(OR(AND(AA36="Muy Baja",AC36="Leve"),AND(AA36="Muy Baja",AC36="Menor"),AND(AA36="Baja",AC36="Leve")),"Bajo",IF(OR(AND(AA36="Muy baja",AC36="Moderado"),AND(AA36="Baja",AC36="Menor"),AND(AA36="Baja",AC36="Moderado"),AND(AA36="Media",AC36="Leve"),AND(AA36="Media",AC36="Menor"),AND(AA36="Media",AC36="Moderado"),AND(AA36="Alta",AC36="Leve"),AND(AA36="Alta",AC36="Menor")),"Moderado",IF(OR(AND(AA36="Muy Baja",AC36="Mayor"),AND(AA36="Baja",AC36="Mayor"),AND(AA36="Media",AC36="Mayor"),AND(AA36="Alta",AC36="Moderado"),AND(AA36="Alta",AC36="Mayor"),AND(AA36="Muy Alta",AC36="Leve"),AND(AA36="Muy Alta",AC36="Menor"),AND(AA36="Muy Alta",AC36="Moderado"),AND(AA36="Muy Alta",AC36="Mayor")),"Alto",IF(OR(AND(AA36="Muy Baja",AC36="Catastrófico"),AND(AA36="Baja",AC36="Catastrófico"),AND(AA36="Media",AC36="Catastrófico"),AND(AA36="Alta",AC36="Catastrófico"),AND(AA36="Muy Alta",AC36="Catastrófico")),"Extremo","")))),"")</f>
        <v/>
      </c>
      <c r="AF36" s="134"/>
      <c r="AG36" s="135"/>
      <c r="AH36" s="136"/>
      <c r="AI36" s="137"/>
      <c r="AJ36" s="137"/>
      <c r="AK36" s="135"/>
      <c r="AL36" s="13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151.5" customHeight="1" x14ac:dyDescent="0.25">
      <c r="A37" s="213"/>
      <c r="B37" s="216"/>
      <c r="C37" s="216"/>
      <c r="D37" s="142"/>
      <c r="E37" s="216"/>
      <c r="F37" s="242"/>
      <c r="G37" s="242"/>
      <c r="H37" s="216"/>
      <c r="I37" s="245"/>
      <c r="J37" s="210"/>
      <c r="K37" s="222"/>
      <c r="L37" s="225"/>
      <c r="M37" s="222">
        <f>IF(NOT(ISERROR(MATCH(L37,_xlfn.ANCHORARRAY(G48),0))),K50&amp;"Por favor no seleccionar los criterios de impacto",L37)</f>
        <v>0</v>
      </c>
      <c r="N37" s="210"/>
      <c r="O37" s="222"/>
      <c r="P37" s="219"/>
      <c r="Q37" s="125">
        <v>3</v>
      </c>
      <c r="R37" s="138"/>
      <c r="S37" s="127" t="str">
        <f>IF(OR(T37="Preventivo",T37="Detectivo"),"Probabilidad",IF(T37="Correctivo","Impacto",""))</f>
        <v/>
      </c>
      <c r="T37" s="128"/>
      <c r="U37" s="128"/>
      <c r="V37" s="129" t="str">
        <f t="shared" si="29"/>
        <v/>
      </c>
      <c r="W37" s="128"/>
      <c r="X37" s="128"/>
      <c r="Y37" s="128"/>
      <c r="Z37" s="130" t="str">
        <f>IFERROR(IF(AND(S36="Probabilidad",S37="Probabilidad"),(AB36-(+AB36*V37)),IF(AND(S36="Impacto",S37="Probabilidad"),(AB35-(+AB35*V37)),IF(S37="Impacto",AB36,""))),"")</f>
        <v/>
      </c>
      <c r="AA37" s="131" t="str">
        <f t="shared" si="1"/>
        <v/>
      </c>
      <c r="AB37" s="132" t="str">
        <f t="shared" si="30"/>
        <v/>
      </c>
      <c r="AC37" s="131" t="str">
        <f t="shared" si="3"/>
        <v/>
      </c>
      <c r="AD37" s="140" t="str">
        <f>IFERROR(IF(AND(S36="Impacto",S37="Impacto"),(AD36-(+AD36*V37)),IF(AND(S36="Probabilidad",S37="Impacto"),(AD35-(+AD35*V37)),IF(S37="Probabilidad",AD36,""))),"")</f>
        <v/>
      </c>
      <c r="AE37" s="133" t="str">
        <f t="shared" si="31"/>
        <v/>
      </c>
      <c r="AF37" s="134"/>
      <c r="AG37" s="135"/>
      <c r="AH37" s="136"/>
      <c r="AI37" s="137"/>
      <c r="AJ37" s="137"/>
      <c r="AK37" s="135"/>
      <c r="AL37" s="13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151.5" customHeight="1" x14ac:dyDescent="0.25">
      <c r="A38" s="213"/>
      <c r="B38" s="216"/>
      <c r="C38" s="216"/>
      <c r="D38" s="142"/>
      <c r="E38" s="216"/>
      <c r="F38" s="242"/>
      <c r="G38" s="242"/>
      <c r="H38" s="216"/>
      <c r="I38" s="245"/>
      <c r="J38" s="210"/>
      <c r="K38" s="222"/>
      <c r="L38" s="225"/>
      <c r="M38" s="222">
        <f>IF(NOT(ISERROR(MATCH(L38,_xlfn.ANCHORARRAY(G49),0))),K51&amp;"Por favor no seleccionar los criterios de impacto",L38)</f>
        <v>0</v>
      </c>
      <c r="N38" s="210"/>
      <c r="O38" s="222"/>
      <c r="P38" s="219"/>
      <c r="Q38" s="125">
        <v>4</v>
      </c>
      <c r="R38" s="126"/>
      <c r="S38" s="127" t="str">
        <f t="shared" ref="S38:S40" si="32">IF(OR(T38="Preventivo",T38="Detectivo"),"Probabilidad",IF(T38="Correctivo","Impacto",""))</f>
        <v/>
      </c>
      <c r="T38" s="128"/>
      <c r="U38" s="128"/>
      <c r="V38" s="129" t="str">
        <f t="shared" si="29"/>
        <v/>
      </c>
      <c r="W38" s="128"/>
      <c r="X38" s="128"/>
      <c r="Y38" s="128"/>
      <c r="Z38" s="130" t="str">
        <f t="shared" ref="Z38:Z40" si="33">IFERROR(IF(AND(S37="Probabilidad",S38="Probabilidad"),(AB37-(+AB37*V38)),IF(AND(S37="Impacto",S38="Probabilidad"),(AB36-(+AB36*V38)),IF(S38="Impacto",AB37,""))),"")</f>
        <v/>
      </c>
      <c r="AA38" s="131" t="str">
        <f t="shared" si="1"/>
        <v/>
      </c>
      <c r="AB38" s="132" t="str">
        <f t="shared" si="30"/>
        <v/>
      </c>
      <c r="AC38" s="131" t="str">
        <f t="shared" si="3"/>
        <v/>
      </c>
      <c r="AD38" s="140" t="str">
        <f t="shared" ref="AD38:AD40" si="34">IFERROR(IF(AND(S37="Impacto",S38="Impacto"),(AD37-(+AD37*V38)),IF(AND(S37="Probabilidad",S38="Impacto"),(AD36-(+AD36*V38)),IF(S38="Probabilidad",AD37,""))),"")</f>
        <v/>
      </c>
      <c r="AE38" s="133" t="str">
        <f>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34"/>
      <c r="AG38" s="135"/>
      <c r="AH38" s="136"/>
      <c r="AI38" s="137"/>
      <c r="AJ38" s="137"/>
      <c r="AK38" s="135"/>
      <c r="AL38" s="13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151.5" customHeight="1" x14ac:dyDescent="0.25">
      <c r="A39" s="213"/>
      <c r="B39" s="216"/>
      <c r="C39" s="216"/>
      <c r="D39" s="142"/>
      <c r="E39" s="216"/>
      <c r="F39" s="242"/>
      <c r="G39" s="242"/>
      <c r="H39" s="216"/>
      <c r="I39" s="245"/>
      <c r="J39" s="210"/>
      <c r="K39" s="222"/>
      <c r="L39" s="225"/>
      <c r="M39" s="222">
        <f>IF(NOT(ISERROR(MATCH(L39,_xlfn.ANCHORARRAY(G50),0))),K52&amp;"Por favor no seleccionar los criterios de impacto",L39)</f>
        <v>0</v>
      </c>
      <c r="N39" s="210"/>
      <c r="O39" s="222"/>
      <c r="P39" s="219"/>
      <c r="Q39" s="125">
        <v>5</v>
      </c>
      <c r="R39" s="126"/>
      <c r="S39" s="127" t="str">
        <f t="shared" si="32"/>
        <v/>
      </c>
      <c r="T39" s="128"/>
      <c r="U39" s="128"/>
      <c r="V39" s="129" t="str">
        <f t="shared" si="29"/>
        <v/>
      </c>
      <c r="W39" s="128"/>
      <c r="X39" s="128"/>
      <c r="Y39" s="128"/>
      <c r="Z39" s="130" t="str">
        <f t="shared" si="33"/>
        <v/>
      </c>
      <c r="AA39" s="131" t="str">
        <f t="shared" si="1"/>
        <v/>
      </c>
      <c r="AB39" s="132" t="str">
        <f t="shared" si="30"/>
        <v/>
      </c>
      <c r="AC39" s="131" t="str">
        <f t="shared" si="3"/>
        <v/>
      </c>
      <c r="AD39" s="140" t="str">
        <f t="shared" si="34"/>
        <v/>
      </c>
      <c r="AE39" s="133" t="str">
        <f t="shared" ref="AE39:AE40" si="35">IFERROR(IF(OR(AND(AA39="Muy Baja",AC39="Leve"),AND(AA39="Muy Baja",AC39="Menor"),AND(AA39="Baja",AC39="Leve")),"Bajo",IF(OR(AND(AA39="Muy baja",AC39="Moderado"),AND(AA39="Baja",AC39="Menor"),AND(AA39="Baja",AC39="Moderado"),AND(AA39="Media",AC39="Leve"),AND(AA39="Media",AC39="Menor"),AND(AA39="Media",AC39="Moderado"),AND(AA39="Alta",AC39="Leve"),AND(AA39="Alta",AC39="Menor")),"Moderado",IF(OR(AND(AA39="Muy Baja",AC39="Mayor"),AND(AA39="Baja",AC39="Mayor"),AND(AA39="Media",AC39="Mayor"),AND(AA39="Alta",AC39="Moderado"),AND(AA39="Alta",AC39="Mayor"),AND(AA39="Muy Alta",AC39="Leve"),AND(AA39="Muy Alta",AC39="Menor"),AND(AA39="Muy Alta",AC39="Moderado"),AND(AA39="Muy Alta",AC39="Mayor")),"Alto",IF(OR(AND(AA39="Muy Baja",AC39="Catastrófico"),AND(AA39="Baja",AC39="Catastrófico"),AND(AA39="Media",AC39="Catastrófico"),AND(AA39="Alta",AC39="Catastrófico"),AND(AA39="Muy Alta",AC39="Catastrófico")),"Extremo","")))),"")</f>
        <v/>
      </c>
      <c r="AF39" s="134"/>
      <c r="AG39" s="135"/>
      <c r="AH39" s="136"/>
      <c r="AI39" s="137"/>
      <c r="AJ39" s="137"/>
      <c r="AK39" s="135"/>
      <c r="AL39" s="13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151.5" customHeight="1" x14ac:dyDescent="0.25">
      <c r="A40" s="214"/>
      <c r="B40" s="217"/>
      <c r="C40" s="217"/>
      <c r="D40" s="143"/>
      <c r="E40" s="217"/>
      <c r="F40" s="243"/>
      <c r="G40" s="243"/>
      <c r="H40" s="217"/>
      <c r="I40" s="246"/>
      <c r="J40" s="211"/>
      <c r="K40" s="223"/>
      <c r="L40" s="226"/>
      <c r="M40" s="223">
        <f>IF(NOT(ISERROR(MATCH(L40,_xlfn.ANCHORARRAY(G51),0))),K53&amp;"Por favor no seleccionar los criterios de impacto",L40)</f>
        <v>0</v>
      </c>
      <c r="N40" s="211"/>
      <c r="O40" s="223"/>
      <c r="P40" s="220"/>
      <c r="Q40" s="125">
        <v>6</v>
      </c>
      <c r="R40" s="126"/>
      <c r="S40" s="127" t="str">
        <f t="shared" si="32"/>
        <v/>
      </c>
      <c r="T40" s="128"/>
      <c r="U40" s="128"/>
      <c r="V40" s="129" t="str">
        <f t="shared" si="29"/>
        <v/>
      </c>
      <c r="W40" s="128"/>
      <c r="X40" s="128"/>
      <c r="Y40" s="128"/>
      <c r="Z40" s="130" t="str">
        <f t="shared" si="33"/>
        <v/>
      </c>
      <c r="AA40" s="131" t="str">
        <f t="shared" si="1"/>
        <v/>
      </c>
      <c r="AB40" s="132" t="str">
        <f t="shared" si="30"/>
        <v/>
      </c>
      <c r="AC40" s="131" t="str">
        <f t="shared" si="3"/>
        <v/>
      </c>
      <c r="AD40" s="140" t="str">
        <f t="shared" si="34"/>
        <v/>
      </c>
      <c r="AE40" s="133" t="str">
        <f t="shared" si="35"/>
        <v/>
      </c>
      <c r="AF40" s="134"/>
      <c r="AG40" s="135"/>
      <c r="AH40" s="136"/>
      <c r="AI40" s="137"/>
      <c r="AJ40" s="137"/>
      <c r="AK40" s="135"/>
      <c r="AL40" s="13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151.5" customHeight="1" x14ac:dyDescent="0.25">
      <c r="A41" s="212">
        <v>6</v>
      </c>
      <c r="B41" s="215"/>
      <c r="C41" s="215"/>
      <c r="D41" s="141"/>
      <c r="E41" s="215"/>
      <c r="F41" s="241"/>
      <c r="G41" s="241"/>
      <c r="H41" s="215"/>
      <c r="I41" s="244"/>
      <c r="J41" s="209" t="str">
        <f>IF(I41&lt;=0,"",IF(I41&lt;=2,"Muy Baja",IF(I41&lt;=24,"Baja",IF(I41&lt;=500,"Media",IF(I41&lt;=5000,"Alta","Muy Alta")))))</f>
        <v/>
      </c>
      <c r="K41" s="221" t="str">
        <f>IF(J41="","",IF(J41="Muy Baja",0.2,IF(J41="Baja",0.4,IF(J41="Media",0.6,IF(J41="Alta",0.8,IF(J41="Muy Alta",1,))))))</f>
        <v/>
      </c>
      <c r="L41" s="224"/>
      <c r="M41" s="221">
        <f>IF(NOT(ISERROR(MATCH(L41,'Tabla Impacto'!$B$221:$B$223,0))),'Tabla Impacto'!$F$223&amp;"Por favor no seleccionar los criterios de impacto(Afectación Económica o presupuestal y Pérdida Reputacional)",L41)</f>
        <v>0</v>
      </c>
      <c r="N41" s="209" t="str">
        <f>IF(OR(M41='Tabla Impacto'!$C$11,M41='Tabla Impacto'!$D$11),"Leve",IF(OR(M41='Tabla Impacto'!$C$12,M41='Tabla Impacto'!$D$12),"Menor",IF(OR(M41='Tabla Impacto'!$C$13,M41='Tabla Impacto'!$D$13),"Moderado",IF(OR(M41='Tabla Impacto'!$C$14,M41='Tabla Impacto'!$D$14),"Mayor",IF(OR(M41='Tabla Impacto'!$C$15,M41='Tabla Impacto'!$D$15),"Catastrófico","")))))</f>
        <v/>
      </c>
      <c r="O41" s="221" t="str">
        <f>IF(N41="","",IF(N41="Leve",0.2,IF(N41="Menor",0.4,IF(N41="Moderado",0.6,IF(N41="Mayor",0.8,IF(N41="Catastrófico",1,))))))</f>
        <v/>
      </c>
      <c r="P41" s="218" t="str">
        <f>IF(OR(AND(J41="Muy Baja",N41="Leve"),AND(J41="Muy Baja",N41="Menor"),AND(J41="Baja",N41="Leve")),"Bajo",IF(OR(AND(J41="Muy baja",N41="Moderado"),AND(J41="Baja",N41="Menor"),AND(J41="Baja",N41="Moderado"),AND(J41="Media",N41="Leve"),AND(J41="Media",N41="Menor"),AND(J41="Media",N41="Moderado"),AND(J41="Alta",N41="Leve"),AND(J41="Alta",N41="Menor")),"Moderado",IF(OR(AND(J41="Muy Baja",N41="Mayor"),AND(J41="Baja",N41="Mayor"),AND(J41="Media",N41="Mayor"),AND(J41="Alta",N41="Moderado"),AND(J41="Alta",N41="Mayor"),AND(J41="Muy Alta",N41="Leve"),AND(J41="Muy Alta",N41="Menor"),AND(J41="Muy Alta",N41="Moderado"),AND(J41="Muy Alta",N41="Mayor")),"Alto",IF(OR(AND(J41="Muy Baja",N41="Catastrófico"),AND(J41="Baja",N41="Catastrófico"),AND(J41="Media",N41="Catastrófico"),AND(J41="Alta",N41="Catastrófico"),AND(J41="Muy Alta",N41="Catastrófico")),"Extremo",""))))</f>
        <v/>
      </c>
      <c r="Q41" s="125">
        <v>1</v>
      </c>
      <c r="R41" s="126"/>
      <c r="S41" s="127" t="str">
        <f>IF(OR(T41="Preventivo",T41="Detectivo"),"Probabilidad",IF(T41="Correctivo","Impacto",""))</f>
        <v/>
      </c>
      <c r="T41" s="128"/>
      <c r="U41" s="128"/>
      <c r="V41" s="129" t="str">
        <f>IF(AND(T41="Preventivo",U41="Automático"),"50%",IF(AND(T41="Preventivo",U41="Manual"),"40%",IF(AND(T41="Detectivo",U41="Automático"),"40%",IF(AND(T41="Detectivo",U41="Manual"),"30%",IF(AND(T41="Correctivo",U41="Automático"),"35%",IF(AND(T41="Correctivo",U41="Manual"),"25%",""))))))</f>
        <v/>
      </c>
      <c r="W41" s="128"/>
      <c r="X41" s="128"/>
      <c r="Y41" s="128"/>
      <c r="Z41" s="130" t="str">
        <f>IFERROR(IF(S41="Probabilidad",(K41-(+K41*V41)),IF(S41="Impacto",K41,"")),"")</f>
        <v/>
      </c>
      <c r="AA41" s="131" t="str">
        <f>IFERROR(IF(Z41="","",IF(Z41&lt;=0.2,"Muy Baja",IF(Z41&lt;=0.4,"Baja",IF(Z41&lt;=0.6,"Media",IF(Z41&lt;=0.8,"Alta","Muy Alta"))))),"")</f>
        <v/>
      </c>
      <c r="AB41" s="132" t="str">
        <f>+Z41</f>
        <v/>
      </c>
      <c r="AC41" s="131" t="str">
        <f>IFERROR(IF(AD41="","",IF(AD41&lt;=0.2,"Leve",IF(AD41&lt;=0.4,"Menor",IF(AD41&lt;=0.6,"Moderado",IF(AD41&lt;=0.8,"Mayor","Catastrófico"))))),"")</f>
        <v/>
      </c>
      <c r="AD41" s="140" t="str">
        <f>IFERROR(IF(S41="Impacto",(O41-(+O41*V41)),IF(S41="Probabilidad",O41,"")),"")</f>
        <v/>
      </c>
      <c r="AE41" s="133" t="str">
        <f>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34"/>
      <c r="AG41" s="135"/>
      <c r="AH41" s="136"/>
      <c r="AI41" s="137"/>
      <c r="AJ41" s="137"/>
      <c r="AK41" s="135"/>
      <c r="AL41" s="13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151.5" customHeight="1" x14ac:dyDescent="0.25">
      <c r="A42" s="213"/>
      <c r="B42" s="216"/>
      <c r="C42" s="216"/>
      <c r="D42" s="142"/>
      <c r="E42" s="216"/>
      <c r="F42" s="242"/>
      <c r="G42" s="242"/>
      <c r="H42" s="216"/>
      <c r="I42" s="245"/>
      <c r="J42" s="210"/>
      <c r="K42" s="222"/>
      <c r="L42" s="225"/>
      <c r="M42" s="222">
        <f>IF(NOT(ISERROR(MATCH(L42,_xlfn.ANCHORARRAY(G53),0))),K55&amp;"Por favor no seleccionar los criterios de impacto",L42)</f>
        <v>0</v>
      </c>
      <c r="N42" s="210"/>
      <c r="O42" s="222"/>
      <c r="P42" s="219"/>
      <c r="Q42" s="125">
        <v>2</v>
      </c>
      <c r="R42" s="126"/>
      <c r="S42" s="127" t="str">
        <f>IF(OR(T42="Preventivo",T42="Detectivo"),"Probabilidad",IF(T42="Correctivo","Impacto",""))</f>
        <v/>
      </c>
      <c r="T42" s="128"/>
      <c r="U42" s="128"/>
      <c r="V42" s="129" t="str">
        <f t="shared" ref="V42:V46" si="36">IF(AND(T42="Preventivo",U42="Automático"),"50%",IF(AND(T42="Preventivo",U42="Manual"),"40%",IF(AND(T42="Detectivo",U42="Automático"),"40%",IF(AND(T42="Detectivo",U42="Manual"),"30%",IF(AND(T42="Correctivo",U42="Automático"),"35%",IF(AND(T42="Correctivo",U42="Manual"),"25%",""))))))</f>
        <v/>
      </c>
      <c r="W42" s="128"/>
      <c r="X42" s="128"/>
      <c r="Y42" s="128"/>
      <c r="Z42" s="130" t="str">
        <f>IFERROR(IF(AND(S41="Probabilidad",S42="Probabilidad"),(AB41-(+AB41*V42)),IF(S42="Probabilidad",(K41-(+K41*V42)),IF(S42="Impacto",AB41,""))),"")</f>
        <v/>
      </c>
      <c r="AA42" s="131" t="str">
        <f t="shared" si="1"/>
        <v/>
      </c>
      <c r="AB42" s="132" t="str">
        <f t="shared" ref="AB42:AB46" si="37">+Z42</f>
        <v/>
      </c>
      <c r="AC42" s="131" t="str">
        <f t="shared" si="3"/>
        <v/>
      </c>
      <c r="AD42" s="140" t="str">
        <f>IFERROR(IF(AND(S41="Impacto",S42="Impacto"),(AD41-(+AD41*V42)),IF(S42="Impacto",(O41-(+O41*V42)),IF(S42="Probabilidad",AD41,""))),"")</f>
        <v/>
      </c>
      <c r="AE42" s="133" t="str">
        <f t="shared" ref="AE42:AE43" si="38">IFERROR(IF(OR(AND(AA42="Muy Baja",AC42="Leve"),AND(AA42="Muy Baja",AC42="Menor"),AND(AA42="Baja",AC42="Leve")),"Bajo",IF(OR(AND(AA42="Muy baja",AC42="Moderado"),AND(AA42="Baja",AC42="Menor"),AND(AA42="Baja",AC42="Moderado"),AND(AA42="Media",AC42="Leve"),AND(AA42="Media",AC42="Menor"),AND(AA42="Media",AC42="Moderado"),AND(AA42="Alta",AC42="Leve"),AND(AA42="Alta",AC42="Menor")),"Moderado",IF(OR(AND(AA42="Muy Baja",AC42="Mayor"),AND(AA42="Baja",AC42="Mayor"),AND(AA42="Media",AC42="Mayor"),AND(AA42="Alta",AC42="Moderado"),AND(AA42="Alta",AC42="Mayor"),AND(AA42="Muy Alta",AC42="Leve"),AND(AA42="Muy Alta",AC42="Menor"),AND(AA42="Muy Alta",AC42="Moderado"),AND(AA42="Muy Alta",AC42="Mayor")),"Alto",IF(OR(AND(AA42="Muy Baja",AC42="Catastrófico"),AND(AA42="Baja",AC42="Catastrófico"),AND(AA42="Media",AC42="Catastrófico"),AND(AA42="Alta",AC42="Catastrófico"),AND(AA42="Muy Alta",AC42="Catastrófico")),"Extremo","")))),"")</f>
        <v/>
      </c>
      <c r="AF42" s="134"/>
      <c r="AG42" s="135"/>
      <c r="AH42" s="136"/>
      <c r="AI42" s="137"/>
      <c r="AJ42" s="137"/>
      <c r="AK42" s="135"/>
      <c r="AL42" s="13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151.5" customHeight="1" x14ac:dyDescent="0.25">
      <c r="A43" s="213"/>
      <c r="B43" s="216"/>
      <c r="C43" s="216"/>
      <c r="D43" s="142"/>
      <c r="E43" s="216"/>
      <c r="F43" s="242"/>
      <c r="G43" s="242"/>
      <c r="H43" s="216"/>
      <c r="I43" s="245"/>
      <c r="J43" s="210"/>
      <c r="K43" s="222"/>
      <c r="L43" s="225"/>
      <c r="M43" s="222">
        <f>IF(NOT(ISERROR(MATCH(L43,_xlfn.ANCHORARRAY(G54),0))),K56&amp;"Por favor no seleccionar los criterios de impacto",L43)</f>
        <v>0</v>
      </c>
      <c r="N43" s="210"/>
      <c r="O43" s="222"/>
      <c r="P43" s="219"/>
      <c r="Q43" s="125">
        <v>3</v>
      </c>
      <c r="R43" s="138"/>
      <c r="S43" s="127" t="str">
        <f>IF(OR(T43="Preventivo",T43="Detectivo"),"Probabilidad",IF(T43="Correctivo","Impacto",""))</f>
        <v/>
      </c>
      <c r="T43" s="128"/>
      <c r="U43" s="128"/>
      <c r="V43" s="129" t="str">
        <f t="shared" si="36"/>
        <v/>
      </c>
      <c r="W43" s="128"/>
      <c r="X43" s="128"/>
      <c r="Y43" s="128"/>
      <c r="Z43" s="130" t="str">
        <f>IFERROR(IF(AND(S42="Probabilidad",S43="Probabilidad"),(AB42-(+AB42*V43)),IF(AND(S42="Impacto",S43="Probabilidad"),(AB41-(+AB41*V43)),IF(S43="Impacto",AB42,""))),"")</f>
        <v/>
      </c>
      <c r="AA43" s="131" t="str">
        <f t="shared" si="1"/>
        <v/>
      </c>
      <c r="AB43" s="132" t="str">
        <f t="shared" si="37"/>
        <v/>
      </c>
      <c r="AC43" s="131" t="str">
        <f t="shared" si="3"/>
        <v/>
      </c>
      <c r="AD43" s="140" t="str">
        <f>IFERROR(IF(AND(S42="Impacto",S43="Impacto"),(AD42-(+AD42*V43)),IF(AND(S42="Probabilidad",S43="Impacto"),(AD41-(+AD41*V43)),IF(S43="Probabilidad",AD42,""))),"")</f>
        <v/>
      </c>
      <c r="AE43" s="133" t="str">
        <f t="shared" si="38"/>
        <v/>
      </c>
      <c r="AF43" s="134"/>
      <c r="AG43" s="135"/>
      <c r="AH43" s="136"/>
      <c r="AI43" s="137"/>
      <c r="AJ43" s="137"/>
      <c r="AK43" s="135"/>
      <c r="AL43" s="13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151.5" customHeight="1" x14ac:dyDescent="0.25">
      <c r="A44" s="213"/>
      <c r="B44" s="216"/>
      <c r="C44" s="216"/>
      <c r="D44" s="142"/>
      <c r="E44" s="216"/>
      <c r="F44" s="242"/>
      <c r="G44" s="242"/>
      <c r="H44" s="216"/>
      <c r="I44" s="245"/>
      <c r="J44" s="210"/>
      <c r="K44" s="222"/>
      <c r="L44" s="225"/>
      <c r="M44" s="222">
        <f>IF(NOT(ISERROR(MATCH(L44,_xlfn.ANCHORARRAY(G55),0))),K57&amp;"Por favor no seleccionar los criterios de impacto",L44)</f>
        <v>0</v>
      </c>
      <c r="N44" s="210"/>
      <c r="O44" s="222"/>
      <c r="P44" s="219"/>
      <c r="Q44" s="125">
        <v>4</v>
      </c>
      <c r="R44" s="126"/>
      <c r="S44" s="127" t="str">
        <f t="shared" ref="S44:S46" si="39">IF(OR(T44="Preventivo",T44="Detectivo"),"Probabilidad",IF(T44="Correctivo","Impacto",""))</f>
        <v/>
      </c>
      <c r="T44" s="128"/>
      <c r="U44" s="128"/>
      <c r="V44" s="129" t="str">
        <f t="shared" si="36"/>
        <v/>
      </c>
      <c r="W44" s="128"/>
      <c r="X44" s="128"/>
      <c r="Y44" s="128"/>
      <c r="Z44" s="130" t="str">
        <f t="shared" ref="Z44:Z46" si="40">IFERROR(IF(AND(S43="Probabilidad",S44="Probabilidad"),(AB43-(+AB43*V44)),IF(AND(S43="Impacto",S44="Probabilidad"),(AB42-(+AB42*V44)),IF(S44="Impacto",AB43,""))),"")</f>
        <v/>
      </c>
      <c r="AA44" s="131" t="str">
        <f t="shared" si="1"/>
        <v/>
      </c>
      <c r="AB44" s="132" t="str">
        <f t="shared" si="37"/>
        <v/>
      </c>
      <c r="AC44" s="131" t="str">
        <f t="shared" si="3"/>
        <v/>
      </c>
      <c r="AD44" s="140" t="str">
        <f t="shared" ref="AD44:AD46" si="41">IFERROR(IF(AND(S43="Impacto",S44="Impacto"),(AD43-(+AD43*V44)),IF(AND(S43="Probabilidad",S44="Impacto"),(AD42-(+AD42*V44)),IF(S44="Probabilidad",AD43,""))),"")</f>
        <v/>
      </c>
      <c r="AE44" s="133" t="str">
        <f>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34"/>
      <c r="AG44" s="135"/>
      <c r="AH44" s="136"/>
      <c r="AI44" s="137"/>
      <c r="AJ44" s="137"/>
      <c r="AK44" s="135"/>
      <c r="AL44" s="13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151.5" customHeight="1" x14ac:dyDescent="0.25">
      <c r="A45" s="213"/>
      <c r="B45" s="216"/>
      <c r="C45" s="216"/>
      <c r="D45" s="142"/>
      <c r="E45" s="216"/>
      <c r="F45" s="242"/>
      <c r="G45" s="242"/>
      <c r="H45" s="216"/>
      <c r="I45" s="245"/>
      <c r="J45" s="210"/>
      <c r="K45" s="222"/>
      <c r="L45" s="225"/>
      <c r="M45" s="222">
        <f>IF(NOT(ISERROR(MATCH(L45,_xlfn.ANCHORARRAY(G56),0))),K58&amp;"Por favor no seleccionar los criterios de impacto",L45)</f>
        <v>0</v>
      </c>
      <c r="N45" s="210"/>
      <c r="O45" s="222"/>
      <c r="P45" s="219"/>
      <c r="Q45" s="125">
        <v>5</v>
      </c>
      <c r="R45" s="126"/>
      <c r="S45" s="127" t="str">
        <f t="shared" si="39"/>
        <v/>
      </c>
      <c r="T45" s="128"/>
      <c r="U45" s="128"/>
      <c r="V45" s="129" t="str">
        <f t="shared" si="36"/>
        <v/>
      </c>
      <c r="W45" s="128"/>
      <c r="X45" s="128"/>
      <c r="Y45" s="128"/>
      <c r="Z45" s="130" t="str">
        <f t="shared" si="40"/>
        <v/>
      </c>
      <c r="AA45" s="131" t="str">
        <f t="shared" si="1"/>
        <v/>
      </c>
      <c r="AB45" s="132" t="str">
        <f t="shared" si="37"/>
        <v/>
      </c>
      <c r="AC45" s="131" t="str">
        <f t="shared" si="3"/>
        <v/>
      </c>
      <c r="AD45" s="140" t="str">
        <f t="shared" si="41"/>
        <v/>
      </c>
      <c r="AE45" s="133" t="str">
        <f t="shared" ref="AE45" si="42">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34"/>
      <c r="AG45" s="135"/>
      <c r="AH45" s="136"/>
      <c r="AI45" s="137"/>
      <c r="AJ45" s="137"/>
      <c r="AK45" s="135"/>
      <c r="AL45" s="13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151.5" customHeight="1" x14ac:dyDescent="0.25">
      <c r="A46" s="214"/>
      <c r="B46" s="217"/>
      <c r="C46" s="217"/>
      <c r="D46" s="143"/>
      <c r="E46" s="217"/>
      <c r="F46" s="243"/>
      <c r="G46" s="243"/>
      <c r="H46" s="217"/>
      <c r="I46" s="246"/>
      <c r="J46" s="211"/>
      <c r="K46" s="223"/>
      <c r="L46" s="226"/>
      <c r="M46" s="223">
        <f>IF(NOT(ISERROR(MATCH(L46,_xlfn.ANCHORARRAY(G57),0))),K59&amp;"Por favor no seleccionar los criterios de impacto",L46)</f>
        <v>0</v>
      </c>
      <c r="N46" s="211"/>
      <c r="O46" s="223"/>
      <c r="P46" s="220"/>
      <c r="Q46" s="125">
        <v>6</v>
      </c>
      <c r="R46" s="126"/>
      <c r="S46" s="127" t="str">
        <f t="shared" si="39"/>
        <v/>
      </c>
      <c r="T46" s="128"/>
      <c r="U46" s="128"/>
      <c r="V46" s="129" t="str">
        <f t="shared" si="36"/>
        <v/>
      </c>
      <c r="W46" s="128"/>
      <c r="X46" s="128"/>
      <c r="Y46" s="128"/>
      <c r="Z46" s="130" t="str">
        <f t="shared" si="40"/>
        <v/>
      </c>
      <c r="AA46" s="131" t="str">
        <f t="shared" si="1"/>
        <v/>
      </c>
      <c r="AB46" s="132" t="str">
        <f t="shared" si="37"/>
        <v/>
      </c>
      <c r="AC46" s="131" t="str">
        <f>IFERROR(IF(AD46="","",IF(AD46&lt;=0.2,"Leve",IF(AD46&lt;=0.4,"Menor",IF(AD46&lt;=0.6,"Moderado",IF(AD46&lt;=0.8,"Mayor","Catastrófico"))))),"")</f>
        <v/>
      </c>
      <c r="AD46" s="140" t="str">
        <f t="shared" si="41"/>
        <v/>
      </c>
      <c r="AE46" s="133" t="str">
        <f>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34"/>
      <c r="AG46" s="135"/>
      <c r="AH46" s="136"/>
      <c r="AI46" s="137"/>
      <c r="AJ46" s="137"/>
      <c r="AK46" s="135"/>
      <c r="AL46" s="13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151.5" customHeight="1" x14ac:dyDescent="0.25">
      <c r="A47" s="212">
        <v>7</v>
      </c>
      <c r="B47" s="215"/>
      <c r="C47" s="215"/>
      <c r="D47" s="141"/>
      <c r="E47" s="215"/>
      <c r="F47" s="241"/>
      <c r="G47" s="241"/>
      <c r="H47" s="215"/>
      <c r="I47" s="244"/>
      <c r="J47" s="209" t="str">
        <f>IF(I47&lt;=0,"",IF(I47&lt;=2,"Muy Baja",IF(I47&lt;=24,"Baja",IF(I47&lt;=500,"Media",IF(I47&lt;=5000,"Alta","Muy Alta")))))</f>
        <v/>
      </c>
      <c r="K47" s="221" t="str">
        <f>IF(J47="","",IF(J47="Muy Baja",0.2,IF(J47="Baja",0.4,IF(J47="Media",0.6,IF(J47="Alta",0.8,IF(J47="Muy Alta",1,))))))</f>
        <v/>
      </c>
      <c r="L47" s="224"/>
      <c r="M47" s="221">
        <f>IF(NOT(ISERROR(MATCH(L47,'Tabla Impacto'!$B$221:$B$223,0))),'Tabla Impacto'!$F$223&amp;"Por favor no seleccionar los criterios de impacto(Afectación Económica o presupuestal y Pérdida Reputacional)",L47)</f>
        <v>0</v>
      </c>
      <c r="N47" s="209" t="str">
        <f>IF(OR(M47='Tabla Impacto'!$C$11,M47='Tabla Impacto'!$D$11),"Leve",IF(OR(M47='Tabla Impacto'!$C$12,M47='Tabla Impacto'!$D$12),"Menor",IF(OR(M47='Tabla Impacto'!$C$13,M47='Tabla Impacto'!$D$13),"Moderado",IF(OR(M47='Tabla Impacto'!$C$14,M47='Tabla Impacto'!$D$14),"Mayor",IF(OR(M47='Tabla Impacto'!$C$15,M47='Tabla Impacto'!$D$15),"Catastrófico","")))))</f>
        <v/>
      </c>
      <c r="O47" s="221" t="str">
        <f>IF(N47="","",IF(N47="Leve",0.2,IF(N47="Menor",0.4,IF(N47="Moderado",0.6,IF(N47="Mayor",0.8,IF(N47="Catastrófico",1,))))))</f>
        <v/>
      </c>
      <c r="P47" s="218" t="str">
        <f>IF(OR(AND(J47="Muy Baja",N47="Leve"),AND(J47="Muy Baja",N47="Menor"),AND(J47="Baja",N47="Leve")),"Bajo",IF(OR(AND(J47="Muy baja",N47="Moderado"),AND(J47="Baja",N47="Menor"),AND(J47="Baja",N47="Moderado"),AND(J47="Media",N47="Leve"),AND(J47="Media",N47="Menor"),AND(J47="Media",N47="Moderado"),AND(J47="Alta",N47="Leve"),AND(J47="Alta",N47="Menor")),"Moderado",IF(OR(AND(J47="Muy Baja",N47="Mayor"),AND(J47="Baja",N47="Mayor"),AND(J47="Media",N47="Mayor"),AND(J47="Alta",N47="Moderado"),AND(J47="Alta",N47="Mayor"),AND(J47="Muy Alta",N47="Leve"),AND(J47="Muy Alta",N47="Menor"),AND(J47="Muy Alta",N47="Moderado"),AND(J47="Muy Alta",N47="Mayor")),"Alto",IF(OR(AND(J47="Muy Baja",N47="Catastrófico"),AND(J47="Baja",N47="Catastrófico"),AND(J47="Media",N47="Catastrófico"),AND(J47="Alta",N47="Catastrófico"),AND(J47="Muy Alta",N47="Catastrófico")),"Extremo",""))))</f>
        <v/>
      </c>
      <c r="Q47" s="125">
        <v>1</v>
      </c>
      <c r="R47" s="126"/>
      <c r="S47" s="127" t="str">
        <f>IF(OR(T47="Preventivo",T47="Detectivo"),"Probabilidad",IF(T47="Correctivo","Impacto",""))</f>
        <v/>
      </c>
      <c r="T47" s="128"/>
      <c r="U47" s="128"/>
      <c r="V47" s="129" t="str">
        <f>IF(AND(T47="Preventivo",U47="Automático"),"50%",IF(AND(T47="Preventivo",U47="Manual"),"40%",IF(AND(T47="Detectivo",U47="Automático"),"40%",IF(AND(T47="Detectivo",U47="Manual"),"30%",IF(AND(T47="Correctivo",U47="Automático"),"35%",IF(AND(T47="Correctivo",U47="Manual"),"25%",""))))))</f>
        <v/>
      </c>
      <c r="W47" s="128"/>
      <c r="X47" s="128"/>
      <c r="Y47" s="128"/>
      <c r="Z47" s="130" t="str">
        <f>IFERROR(IF(S47="Probabilidad",(K47-(+K47*V47)),IF(S47="Impacto",K47,"")),"")</f>
        <v/>
      </c>
      <c r="AA47" s="131" t="str">
        <f>IFERROR(IF(Z47="","",IF(Z47&lt;=0.2,"Muy Baja",IF(Z47&lt;=0.4,"Baja",IF(Z47&lt;=0.6,"Media",IF(Z47&lt;=0.8,"Alta","Muy Alta"))))),"")</f>
        <v/>
      </c>
      <c r="AB47" s="132" t="str">
        <f>+Z47</f>
        <v/>
      </c>
      <c r="AC47" s="131" t="str">
        <f>IFERROR(IF(AD47="","",IF(AD47&lt;=0.2,"Leve",IF(AD47&lt;=0.4,"Menor",IF(AD47&lt;=0.6,"Moderado",IF(AD47&lt;=0.8,"Mayor","Catastrófico"))))),"")</f>
        <v/>
      </c>
      <c r="AD47" s="140" t="str">
        <f>IFERROR(IF(S47="Impacto",(O47-(+O47*V47)),IF(S47="Probabilidad",O47,"")),"")</f>
        <v/>
      </c>
      <c r="AE47" s="133" t="str">
        <f>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34"/>
      <c r="AG47" s="135"/>
      <c r="AH47" s="136"/>
      <c r="AI47" s="137"/>
      <c r="AJ47" s="137"/>
      <c r="AK47" s="135"/>
      <c r="AL47" s="13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151.5" customHeight="1" x14ac:dyDescent="0.25">
      <c r="A48" s="213"/>
      <c r="B48" s="216"/>
      <c r="C48" s="216"/>
      <c r="D48" s="142"/>
      <c r="E48" s="216"/>
      <c r="F48" s="242"/>
      <c r="G48" s="242"/>
      <c r="H48" s="216"/>
      <c r="I48" s="245"/>
      <c r="J48" s="210"/>
      <c r="K48" s="222"/>
      <c r="L48" s="225"/>
      <c r="M48" s="222">
        <f>IF(NOT(ISERROR(MATCH(L48,_xlfn.ANCHORARRAY(G59),0))),K61&amp;"Por favor no seleccionar los criterios de impacto",L48)</f>
        <v>0</v>
      </c>
      <c r="N48" s="210"/>
      <c r="O48" s="222"/>
      <c r="P48" s="219"/>
      <c r="Q48" s="125">
        <v>2</v>
      </c>
      <c r="R48" s="126"/>
      <c r="S48" s="127" t="str">
        <f>IF(OR(T48="Preventivo",T48="Detectivo"),"Probabilidad",IF(T48="Correctivo","Impacto",""))</f>
        <v/>
      </c>
      <c r="T48" s="128"/>
      <c r="U48" s="128"/>
      <c r="V48" s="129" t="str">
        <f t="shared" ref="V48:V52" si="43">IF(AND(T48="Preventivo",U48="Automático"),"50%",IF(AND(T48="Preventivo",U48="Manual"),"40%",IF(AND(T48="Detectivo",U48="Automático"),"40%",IF(AND(T48="Detectivo",U48="Manual"),"30%",IF(AND(T48="Correctivo",U48="Automático"),"35%",IF(AND(T48="Correctivo",U48="Manual"),"25%",""))))))</f>
        <v/>
      </c>
      <c r="W48" s="128"/>
      <c r="X48" s="128"/>
      <c r="Y48" s="128"/>
      <c r="Z48" s="130" t="str">
        <f>IFERROR(IF(AND(S47="Probabilidad",S48="Probabilidad"),(AB47-(+AB47*V48)),IF(S48="Probabilidad",(K47-(+K47*V48)),IF(S48="Impacto",AB47,""))),"")</f>
        <v/>
      </c>
      <c r="AA48" s="131" t="str">
        <f t="shared" si="1"/>
        <v/>
      </c>
      <c r="AB48" s="132" t="str">
        <f t="shared" ref="AB48:AB52" si="44">+Z48</f>
        <v/>
      </c>
      <c r="AC48" s="131" t="str">
        <f t="shared" si="3"/>
        <v/>
      </c>
      <c r="AD48" s="140" t="str">
        <f>IFERROR(IF(AND(S47="Impacto",S48="Impacto"),(AD47-(+AD47*V48)),IF(S48="Impacto",(O47-(+O47*V48)),IF(S48="Probabilidad",AD47,""))),"")</f>
        <v/>
      </c>
      <c r="AE48" s="133" t="str">
        <f t="shared" ref="AE48:AE49" si="45">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34"/>
      <c r="AG48" s="135"/>
      <c r="AH48" s="136"/>
      <c r="AI48" s="137"/>
      <c r="AJ48" s="137"/>
      <c r="AK48" s="135"/>
      <c r="AL48" s="13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151.5" customHeight="1" x14ac:dyDescent="0.25">
      <c r="A49" s="213"/>
      <c r="B49" s="216"/>
      <c r="C49" s="216"/>
      <c r="D49" s="142"/>
      <c r="E49" s="216"/>
      <c r="F49" s="242"/>
      <c r="G49" s="242"/>
      <c r="H49" s="216"/>
      <c r="I49" s="245"/>
      <c r="J49" s="210"/>
      <c r="K49" s="222"/>
      <c r="L49" s="225"/>
      <c r="M49" s="222">
        <f>IF(NOT(ISERROR(MATCH(L49,_xlfn.ANCHORARRAY(G60),0))),K62&amp;"Por favor no seleccionar los criterios de impacto",L49)</f>
        <v>0</v>
      </c>
      <c r="N49" s="210"/>
      <c r="O49" s="222"/>
      <c r="P49" s="219"/>
      <c r="Q49" s="125">
        <v>3</v>
      </c>
      <c r="R49" s="138"/>
      <c r="S49" s="127" t="str">
        <f>IF(OR(T49="Preventivo",T49="Detectivo"),"Probabilidad",IF(T49="Correctivo","Impacto",""))</f>
        <v/>
      </c>
      <c r="T49" s="128"/>
      <c r="U49" s="128"/>
      <c r="V49" s="129" t="str">
        <f t="shared" si="43"/>
        <v/>
      </c>
      <c r="W49" s="128"/>
      <c r="X49" s="128"/>
      <c r="Y49" s="128"/>
      <c r="Z49" s="130" t="str">
        <f>IFERROR(IF(AND(S48="Probabilidad",S49="Probabilidad"),(AB48-(+AB48*V49)),IF(AND(S48="Impacto",S49="Probabilidad"),(AB47-(+AB47*V49)),IF(S49="Impacto",AB48,""))),"")</f>
        <v/>
      </c>
      <c r="AA49" s="131" t="str">
        <f t="shared" si="1"/>
        <v/>
      </c>
      <c r="AB49" s="132" t="str">
        <f t="shared" si="44"/>
        <v/>
      </c>
      <c r="AC49" s="131" t="str">
        <f t="shared" si="3"/>
        <v/>
      </c>
      <c r="AD49" s="140" t="str">
        <f>IFERROR(IF(AND(S48="Impacto",S49="Impacto"),(AD48-(+AD48*V49)),IF(AND(S48="Probabilidad",S49="Impacto"),(AD47-(+AD47*V49)),IF(S49="Probabilidad",AD48,""))),"")</f>
        <v/>
      </c>
      <c r="AE49" s="133" t="str">
        <f t="shared" si="45"/>
        <v/>
      </c>
      <c r="AF49" s="134"/>
      <c r="AG49" s="135"/>
      <c r="AH49" s="136"/>
      <c r="AI49" s="137"/>
      <c r="AJ49" s="137"/>
      <c r="AK49" s="135"/>
      <c r="AL49" s="13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151.5" customHeight="1" x14ac:dyDescent="0.25">
      <c r="A50" s="213"/>
      <c r="B50" s="216"/>
      <c r="C50" s="216"/>
      <c r="D50" s="142"/>
      <c r="E50" s="216"/>
      <c r="F50" s="242"/>
      <c r="G50" s="242"/>
      <c r="H50" s="216"/>
      <c r="I50" s="245"/>
      <c r="J50" s="210"/>
      <c r="K50" s="222"/>
      <c r="L50" s="225"/>
      <c r="M50" s="222">
        <f>IF(NOT(ISERROR(MATCH(L50,_xlfn.ANCHORARRAY(G61),0))),K63&amp;"Por favor no seleccionar los criterios de impacto",L50)</f>
        <v>0</v>
      </c>
      <c r="N50" s="210"/>
      <c r="O50" s="222"/>
      <c r="P50" s="219"/>
      <c r="Q50" s="125">
        <v>4</v>
      </c>
      <c r="R50" s="126"/>
      <c r="S50" s="127" t="str">
        <f t="shared" ref="S50:S52" si="46">IF(OR(T50="Preventivo",T50="Detectivo"),"Probabilidad",IF(T50="Correctivo","Impacto",""))</f>
        <v/>
      </c>
      <c r="T50" s="128"/>
      <c r="U50" s="128"/>
      <c r="V50" s="129" t="str">
        <f t="shared" si="43"/>
        <v/>
      </c>
      <c r="W50" s="128"/>
      <c r="X50" s="128"/>
      <c r="Y50" s="128"/>
      <c r="Z50" s="130" t="str">
        <f t="shared" ref="Z50:Z52" si="47">IFERROR(IF(AND(S49="Probabilidad",S50="Probabilidad"),(AB49-(+AB49*V50)),IF(AND(S49="Impacto",S50="Probabilidad"),(AB48-(+AB48*V50)),IF(S50="Impacto",AB49,""))),"")</f>
        <v/>
      </c>
      <c r="AA50" s="131" t="str">
        <f t="shared" si="1"/>
        <v/>
      </c>
      <c r="AB50" s="132" t="str">
        <f t="shared" si="44"/>
        <v/>
      </c>
      <c r="AC50" s="131" t="str">
        <f t="shared" si="3"/>
        <v/>
      </c>
      <c r="AD50" s="140" t="str">
        <f t="shared" ref="AD50:AD52" si="48">IFERROR(IF(AND(S49="Impacto",S50="Impacto"),(AD49-(+AD49*V50)),IF(AND(S49="Probabilidad",S50="Impacto"),(AD48-(+AD48*V50)),IF(S50="Probabilidad",AD49,""))),"")</f>
        <v/>
      </c>
      <c r="AE50" s="133" t="str">
        <f>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34"/>
      <c r="AG50" s="135"/>
      <c r="AH50" s="136"/>
      <c r="AI50" s="137"/>
      <c r="AJ50" s="137"/>
      <c r="AK50" s="135"/>
      <c r="AL50" s="13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151.5" customHeight="1" x14ac:dyDescent="0.25">
      <c r="A51" s="213"/>
      <c r="B51" s="216"/>
      <c r="C51" s="216"/>
      <c r="D51" s="142"/>
      <c r="E51" s="216"/>
      <c r="F51" s="242"/>
      <c r="G51" s="242"/>
      <c r="H51" s="216"/>
      <c r="I51" s="245"/>
      <c r="J51" s="210"/>
      <c r="K51" s="222"/>
      <c r="L51" s="225"/>
      <c r="M51" s="222">
        <f>IF(NOT(ISERROR(MATCH(L51,_xlfn.ANCHORARRAY(G62),0))),K64&amp;"Por favor no seleccionar los criterios de impacto",L51)</f>
        <v>0</v>
      </c>
      <c r="N51" s="210"/>
      <c r="O51" s="222"/>
      <c r="P51" s="219"/>
      <c r="Q51" s="125">
        <v>5</v>
      </c>
      <c r="R51" s="126"/>
      <c r="S51" s="127" t="str">
        <f t="shared" si="46"/>
        <v/>
      </c>
      <c r="T51" s="128"/>
      <c r="U51" s="128"/>
      <c r="V51" s="129" t="str">
        <f t="shared" si="43"/>
        <v/>
      </c>
      <c r="W51" s="128"/>
      <c r="X51" s="128"/>
      <c r="Y51" s="128"/>
      <c r="Z51" s="130" t="str">
        <f t="shared" si="47"/>
        <v/>
      </c>
      <c r="AA51" s="131" t="str">
        <f t="shared" si="1"/>
        <v/>
      </c>
      <c r="AB51" s="132" t="str">
        <f t="shared" si="44"/>
        <v/>
      </c>
      <c r="AC51" s="131" t="str">
        <f t="shared" si="3"/>
        <v/>
      </c>
      <c r="AD51" s="140" t="str">
        <f t="shared" si="48"/>
        <v/>
      </c>
      <c r="AE51" s="133" t="str">
        <f t="shared" ref="AE51:AE52" si="49">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34"/>
      <c r="AG51" s="135"/>
      <c r="AH51" s="136"/>
      <c r="AI51" s="137"/>
      <c r="AJ51" s="137"/>
      <c r="AK51" s="135"/>
      <c r="AL51" s="13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151.5" customHeight="1" x14ac:dyDescent="0.25">
      <c r="A52" s="214"/>
      <c r="B52" s="217"/>
      <c r="C52" s="217"/>
      <c r="D52" s="143"/>
      <c r="E52" s="217"/>
      <c r="F52" s="243"/>
      <c r="G52" s="243"/>
      <c r="H52" s="217"/>
      <c r="I52" s="246"/>
      <c r="J52" s="211"/>
      <c r="K52" s="223"/>
      <c r="L52" s="226"/>
      <c r="M52" s="223">
        <f>IF(NOT(ISERROR(MATCH(L52,_xlfn.ANCHORARRAY(G63),0))),K65&amp;"Por favor no seleccionar los criterios de impacto",L52)</f>
        <v>0</v>
      </c>
      <c r="N52" s="211"/>
      <c r="O52" s="223"/>
      <c r="P52" s="220"/>
      <c r="Q52" s="125">
        <v>6</v>
      </c>
      <c r="R52" s="126"/>
      <c r="S52" s="127" t="str">
        <f t="shared" si="46"/>
        <v/>
      </c>
      <c r="T52" s="128"/>
      <c r="U52" s="128"/>
      <c r="V52" s="129" t="str">
        <f t="shared" si="43"/>
        <v/>
      </c>
      <c r="W52" s="128"/>
      <c r="X52" s="128"/>
      <c r="Y52" s="128"/>
      <c r="Z52" s="130" t="str">
        <f t="shared" si="47"/>
        <v/>
      </c>
      <c r="AA52" s="131" t="str">
        <f t="shared" si="1"/>
        <v/>
      </c>
      <c r="AB52" s="132" t="str">
        <f t="shared" si="44"/>
        <v/>
      </c>
      <c r="AC52" s="131" t="str">
        <f t="shared" si="3"/>
        <v/>
      </c>
      <c r="AD52" s="140" t="str">
        <f t="shared" si="48"/>
        <v/>
      </c>
      <c r="AE52" s="133" t="str">
        <f t="shared" si="49"/>
        <v/>
      </c>
      <c r="AF52" s="134"/>
      <c r="AG52" s="135"/>
      <c r="AH52" s="136"/>
      <c r="AI52" s="137"/>
      <c r="AJ52" s="137"/>
      <c r="AK52" s="135"/>
      <c r="AL52" s="13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151.5" customHeight="1" x14ac:dyDescent="0.25">
      <c r="A53" s="212">
        <v>8</v>
      </c>
      <c r="B53" s="215"/>
      <c r="C53" s="215"/>
      <c r="D53" s="141"/>
      <c r="E53" s="215"/>
      <c r="F53" s="241"/>
      <c r="G53" s="241"/>
      <c r="H53" s="215"/>
      <c r="I53" s="244"/>
      <c r="J53" s="209" t="str">
        <f>IF(I53&lt;=0,"",IF(I53&lt;=2,"Muy Baja",IF(I53&lt;=24,"Baja",IF(I53&lt;=500,"Media",IF(I53&lt;=5000,"Alta","Muy Alta")))))</f>
        <v/>
      </c>
      <c r="K53" s="221" t="str">
        <f>IF(J53="","",IF(J53="Muy Baja",0.2,IF(J53="Baja",0.4,IF(J53="Media",0.6,IF(J53="Alta",0.8,IF(J53="Muy Alta",1,))))))</f>
        <v/>
      </c>
      <c r="L53" s="224"/>
      <c r="M53" s="221">
        <f>IF(NOT(ISERROR(MATCH(L53,'Tabla Impacto'!$B$221:$B$223,0))),'Tabla Impacto'!$F$223&amp;"Por favor no seleccionar los criterios de impacto(Afectación Económica o presupuestal y Pérdida Reputacional)",L53)</f>
        <v>0</v>
      </c>
      <c r="N53" s="209" t="str">
        <f>IF(OR(M53='Tabla Impacto'!$C$11,M53='Tabla Impacto'!$D$11),"Leve",IF(OR(M53='Tabla Impacto'!$C$12,M53='Tabla Impacto'!$D$12),"Menor",IF(OR(M53='Tabla Impacto'!$C$13,M53='Tabla Impacto'!$D$13),"Moderado",IF(OR(M53='Tabla Impacto'!$C$14,M53='Tabla Impacto'!$D$14),"Mayor",IF(OR(M53='Tabla Impacto'!$C$15,M53='Tabla Impacto'!$D$15),"Catastrófico","")))))</f>
        <v/>
      </c>
      <c r="O53" s="221" t="str">
        <f>IF(N53="","",IF(N53="Leve",0.2,IF(N53="Menor",0.4,IF(N53="Moderado",0.6,IF(N53="Mayor",0.8,IF(N53="Catastrófico",1,))))))</f>
        <v/>
      </c>
      <c r="P53" s="218" t="str">
        <f>IF(OR(AND(J53="Muy Baja",N53="Leve"),AND(J53="Muy Baja",N53="Menor"),AND(J53="Baja",N53="Leve")),"Bajo",IF(OR(AND(J53="Muy baja",N53="Moderado"),AND(J53="Baja",N53="Menor"),AND(J53="Baja",N53="Moderado"),AND(J53="Media",N53="Leve"),AND(J53="Media",N53="Menor"),AND(J53="Media",N53="Moderado"),AND(J53="Alta",N53="Leve"),AND(J53="Alta",N53="Menor")),"Moderado",IF(OR(AND(J53="Muy Baja",N53="Mayor"),AND(J53="Baja",N53="Mayor"),AND(J53="Media",N53="Mayor"),AND(J53="Alta",N53="Moderado"),AND(J53="Alta",N53="Mayor"),AND(J53="Muy Alta",N53="Leve"),AND(J53="Muy Alta",N53="Menor"),AND(J53="Muy Alta",N53="Moderado"),AND(J53="Muy Alta",N53="Mayor")),"Alto",IF(OR(AND(J53="Muy Baja",N53="Catastrófico"),AND(J53="Baja",N53="Catastrófico"),AND(J53="Media",N53="Catastrófico"),AND(J53="Alta",N53="Catastrófico"),AND(J53="Muy Alta",N53="Catastrófico")),"Extremo",""))))</f>
        <v/>
      </c>
      <c r="Q53" s="125">
        <v>1</v>
      </c>
      <c r="R53" s="126"/>
      <c r="S53" s="127" t="str">
        <f>IF(OR(T53="Preventivo",T53="Detectivo"),"Probabilidad",IF(T53="Correctivo","Impacto",""))</f>
        <v/>
      </c>
      <c r="T53" s="128"/>
      <c r="U53" s="128"/>
      <c r="V53" s="129" t="str">
        <f>IF(AND(T53="Preventivo",U53="Automático"),"50%",IF(AND(T53="Preventivo",U53="Manual"),"40%",IF(AND(T53="Detectivo",U53="Automático"),"40%",IF(AND(T53="Detectivo",U53="Manual"),"30%",IF(AND(T53="Correctivo",U53="Automático"),"35%",IF(AND(T53="Correctivo",U53="Manual"),"25%",""))))))</f>
        <v/>
      </c>
      <c r="W53" s="128"/>
      <c r="X53" s="128"/>
      <c r="Y53" s="128"/>
      <c r="Z53" s="130" t="str">
        <f>IFERROR(IF(S53="Probabilidad",(K53-(+K53*V53)),IF(S53="Impacto",K53,"")),"")</f>
        <v/>
      </c>
      <c r="AA53" s="131" t="str">
        <f>IFERROR(IF(Z53="","",IF(Z53&lt;=0.2,"Muy Baja",IF(Z53&lt;=0.4,"Baja",IF(Z53&lt;=0.6,"Media",IF(Z53&lt;=0.8,"Alta","Muy Alta"))))),"")</f>
        <v/>
      </c>
      <c r="AB53" s="132" t="str">
        <f>+Z53</f>
        <v/>
      </c>
      <c r="AC53" s="131" t="str">
        <f>IFERROR(IF(AD53="","",IF(AD53&lt;=0.2,"Leve",IF(AD53&lt;=0.4,"Menor",IF(AD53&lt;=0.6,"Moderado",IF(AD53&lt;=0.8,"Mayor","Catastrófico"))))),"")</f>
        <v/>
      </c>
      <c r="AD53" s="140" t="str">
        <f>IFERROR(IF(S53="Impacto",(O53-(+O53*V53)),IF(S53="Probabilidad",O53,"")),"")</f>
        <v/>
      </c>
      <c r="AE53" s="133" t="str">
        <f>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34"/>
      <c r="AG53" s="135"/>
      <c r="AH53" s="136"/>
      <c r="AI53" s="137"/>
      <c r="AJ53" s="137"/>
      <c r="AK53" s="135"/>
      <c r="AL53" s="13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151.5" customHeight="1" x14ac:dyDescent="0.25">
      <c r="A54" s="213"/>
      <c r="B54" s="216"/>
      <c r="C54" s="216"/>
      <c r="D54" s="142"/>
      <c r="E54" s="216"/>
      <c r="F54" s="242"/>
      <c r="G54" s="242"/>
      <c r="H54" s="216"/>
      <c r="I54" s="245"/>
      <c r="J54" s="210"/>
      <c r="K54" s="222"/>
      <c r="L54" s="225"/>
      <c r="M54" s="222">
        <f>IF(NOT(ISERROR(MATCH(L54,_xlfn.ANCHORARRAY(G65),0))),K67&amp;"Por favor no seleccionar los criterios de impacto",L54)</f>
        <v>0</v>
      </c>
      <c r="N54" s="210"/>
      <c r="O54" s="222"/>
      <c r="P54" s="219"/>
      <c r="Q54" s="125">
        <v>2</v>
      </c>
      <c r="R54" s="126"/>
      <c r="S54" s="127" t="str">
        <f>IF(OR(T54="Preventivo",T54="Detectivo"),"Probabilidad",IF(T54="Correctivo","Impacto",""))</f>
        <v/>
      </c>
      <c r="T54" s="128"/>
      <c r="U54" s="128"/>
      <c r="V54" s="129" t="str">
        <f t="shared" ref="V54:V58" si="50">IF(AND(T54="Preventivo",U54="Automático"),"50%",IF(AND(T54="Preventivo",U54="Manual"),"40%",IF(AND(T54="Detectivo",U54="Automático"),"40%",IF(AND(T54="Detectivo",U54="Manual"),"30%",IF(AND(T54="Correctivo",U54="Automático"),"35%",IF(AND(T54="Correctivo",U54="Manual"),"25%",""))))))</f>
        <v/>
      </c>
      <c r="W54" s="128"/>
      <c r="X54" s="128"/>
      <c r="Y54" s="128"/>
      <c r="Z54" s="130" t="str">
        <f>IFERROR(IF(AND(S53="Probabilidad",S54="Probabilidad"),(AB53-(+AB53*V54)),IF(S54="Probabilidad",(K53-(+K53*V54)),IF(S54="Impacto",AB53,""))),"")</f>
        <v/>
      </c>
      <c r="AA54" s="131" t="str">
        <f t="shared" si="1"/>
        <v/>
      </c>
      <c r="AB54" s="132" t="str">
        <f t="shared" ref="AB54:AB58" si="51">+Z54</f>
        <v/>
      </c>
      <c r="AC54" s="131" t="str">
        <f t="shared" si="3"/>
        <v/>
      </c>
      <c r="AD54" s="140" t="str">
        <f>IFERROR(IF(AND(S53="Impacto",S54="Impacto"),(AD53-(+AD53*V54)),IF(S54="Impacto",(O53-(+O53*V54)),IF(S54="Probabilidad",AD53,""))),"")</f>
        <v/>
      </c>
      <c r="AE54" s="133" t="str">
        <f t="shared" ref="AE54:AE55" si="52">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34"/>
      <c r="AG54" s="135"/>
      <c r="AH54" s="136"/>
      <c r="AI54" s="137"/>
      <c r="AJ54" s="137"/>
      <c r="AK54" s="135"/>
      <c r="AL54" s="13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151.5" customHeight="1" x14ac:dyDescent="0.25">
      <c r="A55" s="213"/>
      <c r="B55" s="216"/>
      <c r="C55" s="216"/>
      <c r="D55" s="142"/>
      <c r="E55" s="216"/>
      <c r="F55" s="242"/>
      <c r="G55" s="242"/>
      <c r="H55" s="216"/>
      <c r="I55" s="245"/>
      <c r="J55" s="210"/>
      <c r="K55" s="222"/>
      <c r="L55" s="225"/>
      <c r="M55" s="222">
        <f>IF(NOT(ISERROR(MATCH(L55,_xlfn.ANCHORARRAY(G66),0))),K68&amp;"Por favor no seleccionar los criterios de impacto",L55)</f>
        <v>0</v>
      </c>
      <c r="N55" s="210"/>
      <c r="O55" s="222"/>
      <c r="P55" s="219"/>
      <c r="Q55" s="125">
        <v>3</v>
      </c>
      <c r="R55" s="138"/>
      <c r="S55" s="127" t="str">
        <f>IF(OR(T55="Preventivo",T55="Detectivo"),"Probabilidad",IF(T55="Correctivo","Impacto",""))</f>
        <v/>
      </c>
      <c r="T55" s="128"/>
      <c r="U55" s="128"/>
      <c r="V55" s="129" t="str">
        <f t="shared" si="50"/>
        <v/>
      </c>
      <c r="W55" s="128"/>
      <c r="X55" s="128"/>
      <c r="Y55" s="128"/>
      <c r="Z55" s="130" t="str">
        <f>IFERROR(IF(AND(S54="Probabilidad",S55="Probabilidad"),(AB54-(+AB54*V55)),IF(AND(S54="Impacto",S55="Probabilidad"),(AB53-(+AB53*V55)),IF(S55="Impacto",AB54,""))),"")</f>
        <v/>
      </c>
      <c r="AA55" s="131" t="str">
        <f t="shared" si="1"/>
        <v/>
      </c>
      <c r="AB55" s="132" t="str">
        <f t="shared" si="51"/>
        <v/>
      </c>
      <c r="AC55" s="131" t="str">
        <f t="shared" si="3"/>
        <v/>
      </c>
      <c r="AD55" s="140" t="str">
        <f>IFERROR(IF(AND(S54="Impacto",S55="Impacto"),(AD54-(+AD54*V55)),IF(AND(S54="Probabilidad",S55="Impacto"),(AD53-(+AD53*V55)),IF(S55="Probabilidad",AD54,""))),"")</f>
        <v/>
      </c>
      <c r="AE55" s="133" t="str">
        <f t="shared" si="52"/>
        <v/>
      </c>
      <c r="AF55" s="134"/>
      <c r="AG55" s="135"/>
      <c r="AH55" s="136"/>
      <c r="AI55" s="137"/>
      <c r="AJ55" s="137"/>
      <c r="AK55" s="135"/>
      <c r="AL55" s="13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151.5" customHeight="1" x14ac:dyDescent="0.25">
      <c r="A56" s="213"/>
      <c r="B56" s="216"/>
      <c r="C56" s="216"/>
      <c r="D56" s="142"/>
      <c r="E56" s="216"/>
      <c r="F56" s="242"/>
      <c r="G56" s="242"/>
      <c r="H56" s="216"/>
      <c r="I56" s="245"/>
      <c r="J56" s="210"/>
      <c r="K56" s="222"/>
      <c r="L56" s="225"/>
      <c r="M56" s="222">
        <f>IF(NOT(ISERROR(MATCH(L56,_xlfn.ANCHORARRAY(G67),0))),K69&amp;"Por favor no seleccionar los criterios de impacto",L56)</f>
        <v>0</v>
      </c>
      <c r="N56" s="210"/>
      <c r="O56" s="222"/>
      <c r="P56" s="219"/>
      <c r="Q56" s="125">
        <v>4</v>
      </c>
      <c r="R56" s="126"/>
      <c r="S56" s="127" t="str">
        <f t="shared" ref="S56:S58" si="53">IF(OR(T56="Preventivo",T56="Detectivo"),"Probabilidad",IF(T56="Correctivo","Impacto",""))</f>
        <v/>
      </c>
      <c r="T56" s="128"/>
      <c r="U56" s="128"/>
      <c r="V56" s="129" t="str">
        <f t="shared" si="50"/>
        <v/>
      </c>
      <c r="W56" s="128"/>
      <c r="X56" s="128"/>
      <c r="Y56" s="128"/>
      <c r="Z56" s="130" t="str">
        <f t="shared" ref="Z56:Z58" si="54">IFERROR(IF(AND(S55="Probabilidad",S56="Probabilidad"),(AB55-(+AB55*V56)),IF(AND(S55="Impacto",S56="Probabilidad"),(AB54-(+AB54*V56)),IF(S56="Impacto",AB55,""))),"")</f>
        <v/>
      </c>
      <c r="AA56" s="131" t="str">
        <f t="shared" si="1"/>
        <v/>
      </c>
      <c r="AB56" s="132" t="str">
        <f t="shared" si="51"/>
        <v/>
      </c>
      <c r="AC56" s="131" t="str">
        <f t="shared" si="3"/>
        <v/>
      </c>
      <c r="AD56" s="140" t="str">
        <f t="shared" ref="AD56:AD58" si="55">IFERROR(IF(AND(S55="Impacto",S56="Impacto"),(AD55-(+AD55*V56)),IF(AND(S55="Probabilidad",S56="Impacto"),(AD54-(+AD54*V56)),IF(S56="Probabilidad",AD55,""))),"")</f>
        <v/>
      </c>
      <c r="AE56" s="133" t="str">
        <f>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34"/>
      <c r="AG56" s="135"/>
      <c r="AH56" s="136"/>
      <c r="AI56" s="137"/>
      <c r="AJ56" s="137"/>
      <c r="AK56" s="135"/>
      <c r="AL56" s="13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151.5" customHeight="1" x14ac:dyDescent="0.25">
      <c r="A57" s="213"/>
      <c r="B57" s="216"/>
      <c r="C57" s="216"/>
      <c r="D57" s="142"/>
      <c r="E57" s="216"/>
      <c r="F57" s="242"/>
      <c r="G57" s="242"/>
      <c r="H57" s="216"/>
      <c r="I57" s="245"/>
      <c r="J57" s="210"/>
      <c r="K57" s="222"/>
      <c r="L57" s="225"/>
      <c r="M57" s="222">
        <f>IF(NOT(ISERROR(MATCH(L57,_xlfn.ANCHORARRAY(G68),0))),K70&amp;"Por favor no seleccionar los criterios de impacto",L57)</f>
        <v>0</v>
      </c>
      <c r="N57" s="210"/>
      <c r="O57" s="222"/>
      <c r="P57" s="219"/>
      <c r="Q57" s="125">
        <v>5</v>
      </c>
      <c r="R57" s="126"/>
      <c r="S57" s="127" t="str">
        <f t="shared" si="53"/>
        <v/>
      </c>
      <c r="T57" s="128"/>
      <c r="U57" s="128"/>
      <c r="V57" s="129" t="str">
        <f t="shared" si="50"/>
        <v/>
      </c>
      <c r="W57" s="128"/>
      <c r="X57" s="128"/>
      <c r="Y57" s="128"/>
      <c r="Z57" s="130" t="str">
        <f t="shared" si="54"/>
        <v/>
      </c>
      <c r="AA57" s="131" t="str">
        <f t="shared" si="1"/>
        <v/>
      </c>
      <c r="AB57" s="132" t="str">
        <f t="shared" si="51"/>
        <v/>
      </c>
      <c r="AC57" s="131" t="str">
        <f t="shared" si="3"/>
        <v/>
      </c>
      <c r="AD57" s="140" t="str">
        <f t="shared" si="55"/>
        <v/>
      </c>
      <c r="AE57" s="133" t="str">
        <f t="shared" ref="AE57:AE58" si="56">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34"/>
      <c r="AG57" s="135"/>
      <c r="AH57" s="136"/>
      <c r="AI57" s="137"/>
      <c r="AJ57" s="137"/>
      <c r="AK57" s="135"/>
      <c r="AL57" s="13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151.5" customHeight="1" x14ac:dyDescent="0.25">
      <c r="A58" s="214"/>
      <c r="B58" s="217"/>
      <c r="C58" s="217"/>
      <c r="D58" s="143"/>
      <c r="E58" s="217"/>
      <c r="F58" s="243"/>
      <c r="G58" s="243"/>
      <c r="H58" s="217"/>
      <c r="I58" s="246"/>
      <c r="J58" s="211"/>
      <c r="K58" s="223"/>
      <c r="L58" s="226"/>
      <c r="M58" s="223">
        <f>IF(NOT(ISERROR(MATCH(L58,_xlfn.ANCHORARRAY(G69),0))),K71&amp;"Por favor no seleccionar los criterios de impacto",L58)</f>
        <v>0</v>
      </c>
      <c r="N58" s="211"/>
      <c r="O58" s="223"/>
      <c r="P58" s="220"/>
      <c r="Q58" s="125">
        <v>6</v>
      </c>
      <c r="R58" s="126"/>
      <c r="S58" s="127" t="str">
        <f t="shared" si="53"/>
        <v/>
      </c>
      <c r="T58" s="128"/>
      <c r="U58" s="128"/>
      <c r="V58" s="129" t="str">
        <f t="shared" si="50"/>
        <v/>
      </c>
      <c r="W58" s="128"/>
      <c r="X58" s="128"/>
      <c r="Y58" s="128"/>
      <c r="Z58" s="130" t="str">
        <f t="shared" si="54"/>
        <v/>
      </c>
      <c r="AA58" s="131" t="str">
        <f t="shared" si="1"/>
        <v/>
      </c>
      <c r="AB58" s="132" t="str">
        <f t="shared" si="51"/>
        <v/>
      </c>
      <c r="AC58" s="131" t="str">
        <f t="shared" si="3"/>
        <v/>
      </c>
      <c r="AD58" s="140" t="str">
        <f t="shared" si="55"/>
        <v/>
      </c>
      <c r="AE58" s="133" t="str">
        <f t="shared" si="56"/>
        <v/>
      </c>
      <c r="AF58" s="134"/>
      <c r="AG58" s="135"/>
      <c r="AH58" s="136"/>
      <c r="AI58" s="137"/>
      <c r="AJ58" s="137"/>
      <c r="AK58" s="135"/>
      <c r="AL58" s="13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151.5" customHeight="1" x14ac:dyDescent="0.25">
      <c r="A59" s="212">
        <v>9</v>
      </c>
      <c r="B59" s="215"/>
      <c r="C59" s="215"/>
      <c r="D59" s="141"/>
      <c r="E59" s="215"/>
      <c r="F59" s="241"/>
      <c r="G59" s="241"/>
      <c r="H59" s="215"/>
      <c r="I59" s="244"/>
      <c r="J59" s="209" t="str">
        <f>IF(I59&lt;=0,"",IF(I59&lt;=2,"Muy Baja",IF(I59&lt;=24,"Baja",IF(I59&lt;=500,"Media",IF(I59&lt;=5000,"Alta","Muy Alta")))))</f>
        <v/>
      </c>
      <c r="K59" s="221" t="str">
        <f>IF(J59="","",IF(J59="Muy Baja",0.2,IF(J59="Baja",0.4,IF(J59="Media",0.6,IF(J59="Alta",0.8,IF(J59="Muy Alta",1,))))))</f>
        <v/>
      </c>
      <c r="L59" s="224"/>
      <c r="M59" s="221">
        <f>IF(NOT(ISERROR(MATCH(L59,'Tabla Impacto'!$B$221:$B$223,0))),'Tabla Impacto'!$F$223&amp;"Por favor no seleccionar los criterios de impacto(Afectación Económica o presupuestal y Pérdida Reputacional)",L59)</f>
        <v>0</v>
      </c>
      <c r="N59" s="209" t="str">
        <f>IF(OR(M59='Tabla Impacto'!$C$11,M59='Tabla Impacto'!$D$11),"Leve",IF(OR(M59='Tabla Impacto'!$C$12,M59='Tabla Impacto'!$D$12),"Menor",IF(OR(M59='Tabla Impacto'!$C$13,M59='Tabla Impacto'!$D$13),"Moderado",IF(OR(M59='Tabla Impacto'!$C$14,M59='Tabla Impacto'!$D$14),"Mayor",IF(OR(M59='Tabla Impacto'!$C$15,M59='Tabla Impacto'!$D$15),"Catastrófico","")))))</f>
        <v/>
      </c>
      <c r="O59" s="221" t="str">
        <f>IF(N59="","",IF(N59="Leve",0.2,IF(N59="Menor",0.4,IF(N59="Moderado",0.6,IF(N59="Mayor",0.8,IF(N59="Catastrófico",1,))))))</f>
        <v/>
      </c>
      <c r="P59" s="218" t="str">
        <f>IF(OR(AND(J59="Muy Baja",N59="Leve"),AND(J59="Muy Baja",N59="Menor"),AND(J59="Baja",N59="Leve")),"Bajo",IF(OR(AND(J59="Muy baja",N59="Moderado"),AND(J59="Baja",N59="Menor"),AND(J59="Baja",N59="Moderado"),AND(J59="Media",N59="Leve"),AND(J59="Media",N59="Menor"),AND(J59="Media",N59="Moderado"),AND(J59="Alta",N59="Leve"),AND(J59="Alta",N59="Menor")),"Moderado",IF(OR(AND(J59="Muy Baja",N59="Mayor"),AND(J59="Baja",N59="Mayor"),AND(J59="Media",N59="Mayor"),AND(J59="Alta",N59="Moderado"),AND(J59="Alta",N59="Mayor"),AND(J59="Muy Alta",N59="Leve"),AND(J59="Muy Alta",N59="Menor"),AND(J59="Muy Alta",N59="Moderado"),AND(J59="Muy Alta",N59="Mayor")),"Alto",IF(OR(AND(J59="Muy Baja",N59="Catastrófico"),AND(J59="Baja",N59="Catastrófico"),AND(J59="Media",N59="Catastrófico"),AND(J59="Alta",N59="Catastrófico"),AND(J59="Muy Alta",N59="Catastrófico")),"Extremo",""))))</f>
        <v/>
      </c>
      <c r="Q59" s="125">
        <v>1</v>
      </c>
      <c r="R59" s="126"/>
      <c r="S59" s="127" t="str">
        <f>IF(OR(T59="Preventivo",T59="Detectivo"),"Probabilidad",IF(T59="Correctivo","Impacto",""))</f>
        <v/>
      </c>
      <c r="T59" s="128"/>
      <c r="U59" s="128"/>
      <c r="V59" s="129" t="str">
        <f>IF(AND(T59="Preventivo",U59="Automático"),"50%",IF(AND(T59="Preventivo",U59="Manual"),"40%",IF(AND(T59="Detectivo",U59="Automático"),"40%",IF(AND(T59="Detectivo",U59="Manual"),"30%",IF(AND(T59="Correctivo",U59="Automático"),"35%",IF(AND(T59="Correctivo",U59="Manual"),"25%",""))))))</f>
        <v/>
      </c>
      <c r="W59" s="128"/>
      <c r="X59" s="128"/>
      <c r="Y59" s="128"/>
      <c r="Z59" s="130" t="str">
        <f>IFERROR(IF(S59="Probabilidad",(K59-(+K59*V59)),IF(S59="Impacto",K59,"")),"")</f>
        <v/>
      </c>
      <c r="AA59" s="131" t="str">
        <f>IFERROR(IF(Z59="","",IF(Z59&lt;=0.2,"Muy Baja",IF(Z59&lt;=0.4,"Baja",IF(Z59&lt;=0.6,"Media",IF(Z59&lt;=0.8,"Alta","Muy Alta"))))),"")</f>
        <v/>
      </c>
      <c r="AB59" s="132" t="str">
        <f>+Z59</f>
        <v/>
      </c>
      <c r="AC59" s="131" t="str">
        <f>IFERROR(IF(AD59="","",IF(AD59&lt;=0.2,"Leve",IF(AD59&lt;=0.4,"Menor",IF(AD59&lt;=0.6,"Moderado",IF(AD59&lt;=0.8,"Mayor","Catastrófico"))))),"")</f>
        <v/>
      </c>
      <c r="AD59" s="140" t="str">
        <f>IFERROR(IF(S59="Impacto",(O59-(+O59*V59)),IF(S59="Probabilidad",O59,"")),"")</f>
        <v/>
      </c>
      <c r="AE59" s="133" t="str">
        <f>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34"/>
      <c r="AG59" s="135"/>
      <c r="AH59" s="136"/>
      <c r="AI59" s="137"/>
      <c r="AJ59" s="137"/>
      <c r="AK59" s="135"/>
      <c r="AL59" s="13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51.5" customHeight="1" x14ac:dyDescent="0.25">
      <c r="A60" s="213"/>
      <c r="B60" s="216"/>
      <c r="C60" s="216"/>
      <c r="D60" s="142"/>
      <c r="E60" s="216"/>
      <c r="F60" s="242"/>
      <c r="G60" s="242"/>
      <c r="H60" s="216"/>
      <c r="I60" s="245"/>
      <c r="J60" s="210"/>
      <c r="K60" s="222"/>
      <c r="L60" s="225"/>
      <c r="M60" s="222">
        <f>IF(NOT(ISERROR(MATCH(L60,_xlfn.ANCHORARRAY(E71),0))),K73&amp;"Por favor no seleccionar los criterios de impacto",L60)</f>
        <v>0</v>
      </c>
      <c r="N60" s="210"/>
      <c r="O60" s="222"/>
      <c r="P60" s="219"/>
      <c r="Q60" s="125">
        <v>2</v>
      </c>
      <c r="R60" s="126"/>
      <c r="S60" s="127" t="str">
        <f>IF(OR(T60="Preventivo",T60="Detectivo"),"Probabilidad",IF(T60="Correctivo","Impacto",""))</f>
        <v/>
      </c>
      <c r="T60" s="128"/>
      <c r="U60" s="128"/>
      <c r="V60" s="129" t="str">
        <f t="shared" ref="V60:V64" si="57">IF(AND(T60="Preventivo",U60="Automático"),"50%",IF(AND(T60="Preventivo",U60="Manual"),"40%",IF(AND(T60="Detectivo",U60="Automático"),"40%",IF(AND(T60="Detectivo",U60="Manual"),"30%",IF(AND(T60="Correctivo",U60="Automático"),"35%",IF(AND(T60="Correctivo",U60="Manual"),"25%",""))))))</f>
        <v/>
      </c>
      <c r="W60" s="128"/>
      <c r="X60" s="128"/>
      <c r="Y60" s="128"/>
      <c r="Z60" s="130" t="str">
        <f>IFERROR(IF(AND(S59="Probabilidad",S60="Probabilidad"),(AB59-(+AB59*V60)),IF(S60="Probabilidad",(K59-(+K59*V60)),IF(S60="Impacto",AB59,""))),"")</f>
        <v/>
      </c>
      <c r="AA60" s="131" t="str">
        <f t="shared" si="1"/>
        <v/>
      </c>
      <c r="AB60" s="132" t="str">
        <f t="shared" ref="AB60:AB64" si="58">+Z60</f>
        <v/>
      </c>
      <c r="AC60" s="131" t="str">
        <f t="shared" si="3"/>
        <v/>
      </c>
      <c r="AD60" s="140" t="str">
        <f>IFERROR(IF(AND(S59="Impacto",S60="Impacto"),(AD59-(+AD59*V60)),IF(S60="Impacto",(O59-(+O59*V60)),IF(S60="Probabilidad",AD59,""))),"")</f>
        <v/>
      </c>
      <c r="AE60" s="133" t="str">
        <f t="shared" ref="AE60:AE61" si="59">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34"/>
      <c r="AG60" s="135"/>
      <c r="AH60" s="136"/>
      <c r="AI60" s="137"/>
      <c r="AJ60" s="137"/>
      <c r="AK60" s="135"/>
      <c r="AL60" s="13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51.5" customHeight="1" x14ac:dyDescent="0.25">
      <c r="A61" s="213"/>
      <c r="B61" s="216"/>
      <c r="C61" s="216"/>
      <c r="D61" s="142"/>
      <c r="E61" s="216"/>
      <c r="F61" s="242"/>
      <c r="G61" s="242"/>
      <c r="H61" s="216"/>
      <c r="I61" s="245"/>
      <c r="J61" s="210"/>
      <c r="K61" s="222"/>
      <c r="L61" s="225"/>
      <c r="M61" s="222">
        <f>IF(NOT(ISERROR(MATCH(L61,_xlfn.ANCHORARRAY(E72),0))),K74&amp;"Por favor no seleccionar los criterios de impacto",L61)</f>
        <v>0</v>
      </c>
      <c r="N61" s="210"/>
      <c r="O61" s="222"/>
      <c r="P61" s="219"/>
      <c r="Q61" s="125">
        <v>3</v>
      </c>
      <c r="R61" s="138"/>
      <c r="S61" s="127" t="str">
        <f>IF(OR(T61="Preventivo",T61="Detectivo"),"Probabilidad",IF(T61="Correctivo","Impacto",""))</f>
        <v/>
      </c>
      <c r="T61" s="128"/>
      <c r="U61" s="128"/>
      <c r="V61" s="129" t="str">
        <f t="shared" si="57"/>
        <v/>
      </c>
      <c r="W61" s="128"/>
      <c r="X61" s="128"/>
      <c r="Y61" s="128"/>
      <c r="Z61" s="130" t="str">
        <f>IFERROR(IF(AND(S60="Probabilidad",S61="Probabilidad"),(AB60-(+AB60*V61)),IF(AND(S60="Impacto",S61="Probabilidad"),(AB59-(+AB59*V61)),IF(S61="Impacto",AB60,""))),"")</f>
        <v/>
      </c>
      <c r="AA61" s="131" t="str">
        <f t="shared" si="1"/>
        <v/>
      </c>
      <c r="AB61" s="132" t="str">
        <f t="shared" si="58"/>
        <v/>
      </c>
      <c r="AC61" s="131" t="str">
        <f t="shared" si="3"/>
        <v/>
      </c>
      <c r="AD61" s="140" t="str">
        <f>IFERROR(IF(AND(S60="Impacto",S61="Impacto"),(AD60-(+AD60*V61)),IF(AND(S60="Probabilidad",S61="Impacto"),(AD59-(+AD59*V61)),IF(S61="Probabilidad",AD60,""))),"")</f>
        <v/>
      </c>
      <c r="AE61" s="133" t="str">
        <f t="shared" si="59"/>
        <v/>
      </c>
      <c r="AF61" s="134"/>
      <c r="AG61" s="135"/>
      <c r="AH61" s="136"/>
      <c r="AI61" s="137"/>
      <c r="AJ61" s="137"/>
      <c r="AK61" s="135"/>
      <c r="AL61" s="136"/>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151.5" customHeight="1" x14ac:dyDescent="0.25">
      <c r="A62" s="213"/>
      <c r="B62" s="216"/>
      <c r="C62" s="216"/>
      <c r="D62" s="142"/>
      <c r="E62" s="216"/>
      <c r="F62" s="242"/>
      <c r="G62" s="242"/>
      <c r="H62" s="216"/>
      <c r="I62" s="245"/>
      <c r="J62" s="210"/>
      <c r="K62" s="222"/>
      <c r="L62" s="225"/>
      <c r="M62" s="222">
        <f>IF(NOT(ISERROR(MATCH(L62,_xlfn.ANCHORARRAY(E73),0))),K75&amp;"Por favor no seleccionar los criterios de impacto",L62)</f>
        <v>0</v>
      </c>
      <c r="N62" s="210"/>
      <c r="O62" s="222"/>
      <c r="P62" s="219"/>
      <c r="Q62" s="125">
        <v>4</v>
      </c>
      <c r="R62" s="126"/>
      <c r="S62" s="127" t="str">
        <f t="shared" ref="S62:S64" si="60">IF(OR(T62="Preventivo",T62="Detectivo"),"Probabilidad",IF(T62="Correctivo","Impacto",""))</f>
        <v/>
      </c>
      <c r="T62" s="128"/>
      <c r="U62" s="128"/>
      <c r="V62" s="129" t="str">
        <f t="shared" si="57"/>
        <v/>
      </c>
      <c r="W62" s="128"/>
      <c r="X62" s="128"/>
      <c r="Y62" s="128"/>
      <c r="Z62" s="130" t="str">
        <f t="shared" ref="Z62:Z64" si="61">IFERROR(IF(AND(S61="Probabilidad",S62="Probabilidad"),(AB61-(+AB61*V62)),IF(AND(S61="Impacto",S62="Probabilidad"),(AB60-(+AB60*V62)),IF(S62="Impacto",AB61,""))),"")</f>
        <v/>
      </c>
      <c r="AA62" s="131" t="str">
        <f t="shared" si="1"/>
        <v/>
      </c>
      <c r="AB62" s="132" t="str">
        <f t="shared" si="58"/>
        <v/>
      </c>
      <c r="AC62" s="131" t="str">
        <f t="shared" si="3"/>
        <v/>
      </c>
      <c r="AD62" s="140" t="str">
        <f t="shared" ref="AD62:AD64" si="62">IFERROR(IF(AND(S61="Impacto",S62="Impacto"),(AD61-(+AD61*V62)),IF(AND(S61="Probabilidad",S62="Impacto"),(AD60-(+AD60*V62)),IF(S62="Probabilidad",AD61,""))),"")</f>
        <v/>
      </c>
      <c r="AE62" s="133" t="str">
        <f>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34"/>
      <c r="AG62" s="135"/>
      <c r="AH62" s="136"/>
      <c r="AI62" s="137"/>
      <c r="AJ62" s="137"/>
      <c r="AK62" s="135"/>
      <c r="AL62" s="136"/>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151.5" customHeight="1" x14ac:dyDescent="0.25">
      <c r="A63" s="213"/>
      <c r="B63" s="216"/>
      <c r="C63" s="216"/>
      <c r="D63" s="142"/>
      <c r="E63" s="216"/>
      <c r="F63" s="242"/>
      <c r="G63" s="242"/>
      <c r="H63" s="216"/>
      <c r="I63" s="245"/>
      <c r="J63" s="210"/>
      <c r="K63" s="222"/>
      <c r="L63" s="225"/>
      <c r="M63" s="222">
        <f>IF(NOT(ISERROR(MATCH(L63,_xlfn.ANCHORARRAY(E74),0))),K76&amp;"Por favor no seleccionar los criterios de impacto",L63)</f>
        <v>0</v>
      </c>
      <c r="N63" s="210"/>
      <c r="O63" s="222"/>
      <c r="P63" s="219"/>
      <c r="Q63" s="125">
        <v>5</v>
      </c>
      <c r="R63" s="126"/>
      <c r="S63" s="127" t="str">
        <f t="shared" si="60"/>
        <v/>
      </c>
      <c r="T63" s="128"/>
      <c r="U63" s="128"/>
      <c r="V63" s="129" t="str">
        <f t="shared" si="57"/>
        <v/>
      </c>
      <c r="W63" s="128"/>
      <c r="X63" s="128"/>
      <c r="Y63" s="128"/>
      <c r="Z63" s="130" t="str">
        <f t="shared" si="61"/>
        <v/>
      </c>
      <c r="AA63" s="131" t="str">
        <f t="shared" si="1"/>
        <v/>
      </c>
      <c r="AB63" s="132" t="str">
        <f t="shared" si="58"/>
        <v/>
      </c>
      <c r="AC63" s="131" t="str">
        <f t="shared" si="3"/>
        <v/>
      </c>
      <c r="AD63" s="140" t="str">
        <f t="shared" si="62"/>
        <v/>
      </c>
      <c r="AE63" s="133" t="str">
        <f t="shared" ref="AE63:AE64" si="63">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34"/>
      <c r="AG63" s="135"/>
      <c r="AH63" s="136"/>
      <c r="AI63" s="137"/>
      <c r="AJ63" s="137"/>
      <c r="AK63" s="135"/>
      <c r="AL63" s="136"/>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51.5" customHeight="1" x14ac:dyDescent="0.25">
      <c r="A64" s="214"/>
      <c r="B64" s="217"/>
      <c r="C64" s="217"/>
      <c r="D64" s="143"/>
      <c r="E64" s="217"/>
      <c r="F64" s="243"/>
      <c r="G64" s="243"/>
      <c r="H64" s="217"/>
      <c r="I64" s="246"/>
      <c r="J64" s="211"/>
      <c r="K64" s="223"/>
      <c r="L64" s="226"/>
      <c r="M64" s="223">
        <f>IF(NOT(ISERROR(MATCH(L64,_xlfn.ANCHORARRAY(E75),0))),K77&amp;"Por favor no seleccionar los criterios de impacto",L64)</f>
        <v>0</v>
      </c>
      <c r="N64" s="211"/>
      <c r="O64" s="223"/>
      <c r="P64" s="220"/>
      <c r="Q64" s="125">
        <v>6</v>
      </c>
      <c r="R64" s="126"/>
      <c r="S64" s="127" t="str">
        <f t="shared" si="60"/>
        <v/>
      </c>
      <c r="T64" s="128"/>
      <c r="U64" s="128"/>
      <c r="V64" s="129" t="str">
        <f t="shared" si="57"/>
        <v/>
      </c>
      <c r="W64" s="128"/>
      <c r="X64" s="128"/>
      <c r="Y64" s="128"/>
      <c r="Z64" s="130" t="str">
        <f t="shared" si="61"/>
        <v/>
      </c>
      <c r="AA64" s="131" t="str">
        <f t="shared" si="1"/>
        <v/>
      </c>
      <c r="AB64" s="132" t="str">
        <f t="shared" si="58"/>
        <v/>
      </c>
      <c r="AC64" s="131" t="str">
        <f t="shared" si="3"/>
        <v/>
      </c>
      <c r="AD64" s="140" t="str">
        <f t="shared" si="62"/>
        <v/>
      </c>
      <c r="AE64" s="133" t="str">
        <f t="shared" si="63"/>
        <v/>
      </c>
      <c r="AF64" s="134"/>
      <c r="AG64" s="135"/>
      <c r="AH64" s="136"/>
      <c r="AI64" s="137"/>
      <c r="AJ64" s="137"/>
      <c r="AK64" s="135"/>
      <c r="AL64" s="136"/>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70" ht="151.5" customHeight="1" x14ac:dyDescent="0.25">
      <c r="A65" s="212">
        <v>10</v>
      </c>
      <c r="B65" s="215"/>
      <c r="C65" s="215"/>
      <c r="D65" s="141"/>
      <c r="E65" s="215"/>
      <c r="F65" s="241"/>
      <c r="G65" s="241"/>
      <c r="H65" s="215"/>
      <c r="I65" s="244"/>
      <c r="J65" s="209" t="str">
        <f>IF(I65&lt;=0,"",IF(I65&lt;=2,"Muy Baja",IF(I65&lt;=24,"Baja",IF(I65&lt;=500,"Media",IF(I65&lt;=5000,"Alta","Muy Alta")))))</f>
        <v/>
      </c>
      <c r="K65" s="221" t="str">
        <f>IF(J65="","",IF(J65="Muy Baja",0.2,IF(J65="Baja",0.4,IF(J65="Media",0.6,IF(J65="Alta",0.8,IF(J65="Muy Alta",1,))))))</f>
        <v/>
      </c>
      <c r="L65" s="224"/>
      <c r="M65" s="221">
        <f>IF(NOT(ISERROR(MATCH(L65,'Tabla Impacto'!$B$221:$B$223,0))),'Tabla Impacto'!$F$223&amp;"Por favor no seleccionar los criterios de impacto(Afectación Económica o presupuestal y Pérdida Reputacional)",L65)</f>
        <v>0</v>
      </c>
      <c r="N65" s="209" t="str">
        <f>IF(OR(M65='Tabla Impacto'!$C$11,M65='Tabla Impacto'!$D$11),"Leve",IF(OR(M65='Tabla Impacto'!$C$12,M65='Tabla Impacto'!$D$12),"Menor",IF(OR(M65='Tabla Impacto'!$C$13,M65='Tabla Impacto'!$D$13),"Moderado",IF(OR(M65='Tabla Impacto'!$C$14,M65='Tabla Impacto'!$D$14),"Mayor",IF(OR(M65='Tabla Impacto'!$C$15,M65='Tabla Impacto'!$D$15),"Catastrófico","")))))</f>
        <v/>
      </c>
      <c r="O65" s="221" t="str">
        <f>IF(N65="","",IF(N65="Leve",0.2,IF(N65="Menor",0.4,IF(N65="Moderado",0.6,IF(N65="Mayor",0.8,IF(N65="Catastrófico",1,))))))</f>
        <v/>
      </c>
      <c r="P65" s="218" t="str">
        <f>IF(OR(AND(J65="Muy Baja",N65="Leve"),AND(J65="Muy Baja",N65="Menor"),AND(J65="Baja",N65="Leve")),"Bajo",IF(OR(AND(J65="Muy baja",N65="Moderado"),AND(J65="Baja",N65="Menor"),AND(J65="Baja",N65="Moderado"),AND(J65="Media",N65="Leve"),AND(J65="Media",N65="Menor"),AND(J65="Media",N65="Moderado"),AND(J65="Alta",N65="Leve"),AND(J65="Alta",N65="Menor")),"Moderado",IF(OR(AND(J65="Muy Baja",N65="Mayor"),AND(J65="Baja",N65="Mayor"),AND(J65="Media",N65="Mayor"),AND(J65="Alta",N65="Moderado"),AND(J65="Alta",N65="Mayor"),AND(J65="Muy Alta",N65="Leve"),AND(J65="Muy Alta",N65="Menor"),AND(J65="Muy Alta",N65="Moderado"),AND(J65="Muy Alta",N65="Mayor")),"Alto",IF(OR(AND(J65="Muy Baja",N65="Catastrófico"),AND(J65="Baja",N65="Catastrófico"),AND(J65="Media",N65="Catastrófico"),AND(J65="Alta",N65="Catastrófico"),AND(J65="Muy Alta",N65="Catastrófico")),"Extremo",""))))</f>
        <v/>
      </c>
      <c r="Q65" s="125">
        <v>1</v>
      </c>
      <c r="R65" s="126"/>
      <c r="S65" s="127" t="str">
        <f>IF(OR(T65="Preventivo",T65="Detectivo"),"Probabilidad",IF(T65="Correctivo","Impacto",""))</f>
        <v/>
      </c>
      <c r="T65" s="128"/>
      <c r="U65" s="128"/>
      <c r="V65" s="129" t="str">
        <f>IF(AND(T65="Preventivo",U65="Automático"),"50%",IF(AND(T65="Preventivo",U65="Manual"),"40%",IF(AND(T65="Detectivo",U65="Automático"),"40%",IF(AND(T65="Detectivo",U65="Manual"),"30%",IF(AND(T65="Correctivo",U65="Automático"),"35%",IF(AND(T65="Correctivo",U65="Manual"),"25%",""))))))</f>
        <v/>
      </c>
      <c r="W65" s="128"/>
      <c r="X65" s="128"/>
      <c r="Y65" s="128"/>
      <c r="Z65" s="130" t="str">
        <f>IFERROR(IF(S65="Probabilidad",(K65-(+K65*V65)),IF(S65="Impacto",K65,"")),"")</f>
        <v/>
      </c>
      <c r="AA65" s="131" t="str">
        <f>IFERROR(IF(Z65="","",IF(Z65&lt;=0.2,"Muy Baja",IF(Z65&lt;=0.4,"Baja",IF(Z65&lt;=0.6,"Media",IF(Z65&lt;=0.8,"Alta","Muy Alta"))))),"")</f>
        <v/>
      </c>
      <c r="AB65" s="132" t="str">
        <f>+Z65</f>
        <v/>
      </c>
      <c r="AC65" s="131" t="str">
        <f>IFERROR(IF(AD65="","",IF(AD65&lt;=0.2,"Leve",IF(AD65&lt;=0.4,"Menor",IF(AD65&lt;=0.6,"Moderado",IF(AD65&lt;=0.8,"Mayor","Catastrófico"))))),"")</f>
        <v/>
      </c>
      <c r="AD65" s="140" t="str">
        <f>IFERROR(IF(S65="Impacto",(O65-(+O65*V65)),IF(S65="Probabilidad",O65,"")),"")</f>
        <v/>
      </c>
      <c r="AE65" s="133" t="str">
        <f>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34"/>
      <c r="AG65" s="135"/>
      <c r="AH65" s="136"/>
      <c r="AI65" s="137"/>
      <c r="AJ65" s="137"/>
      <c r="AK65" s="135"/>
      <c r="AL65" s="136"/>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row>
    <row r="66" spans="1:70" ht="151.5" customHeight="1" x14ac:dyDescent="0.25">
      <c r="A66" s="213"/>
      <c r="B66" s="216"/>
      <c r="C66" s="216"/>
      <c r="D66" s="142"/>
      <c r="E66" s="216"/>
      <c r="F66" s="242"/>
      <c r="G66" s="242"/>
      <c r="H66" s="216"/>
      <c r="I66" s="245"/>
      <c r="J66" s="210"/>
      <c r="K66" s="222"/>
      <c r="L66" s="225"/>
      <c r="M66" s="222">
        <f>IF(NOT(ISERROR(MATCH(L66,_xlfn.ANCHORARRAY(E77),0))),K79&amp;"Por favor no seleccionar los criterios de impacto",L66)</f>
        <v>0</v>
      </c>
      <c r="N66" s="210"/>
      <c r="O66" s="222"/>
      <c r="P66" s="219"/>
      <c r="Q66" s="125">
        <v>2</v>
      </c>
      <c r="R66" s="126"/>
      <c r="S66" s="127" t="str">
        <f>IF(OR(T66="Preventivo",T66="Detectivo"),"Probabilidad",IF(T66="Correctivo","Impacto",""))</f>
        <v/>
      </c>
      <c r="T66" s="128"/>
      <c r="U66" s="128"/>
      <c r="V66" s="129" t="str">
        <f t="shared" ref="V66:V70" si="64">IF(AND(T66="Preventivo",U66="Automático"),"50%",IF(AND(T66="Preventivo",U66="Manual"),"40%",IF(AND(T66="Detectivo",U66="Automático"),"40%",IF(AND(T66="Detectivo",U66="Manual"),"30%",IF(AND(T66="Correctivo",U66="Automático"),"35%",IF(AND(T66="Correctivo",U66="Manual"),"25%",""))))))</f>
        <v/>
      </c>
      <c r="W66" s="128"/>
      <c r="X66" s="128"/>
      <c r="Y66" s="128"/>
      <c r="Z66" s="130" t="str">
        <f>IFERROR(IF(AND(S65="Probabilidad",S66="Probabilidad"),(AB65-(+AB65*V66)),IF(S66="Probabilidad",(K65-(+K65*V66)),IF(S66="Impacto",AB65,""))),"")</f>
        <v/>
      </c>
      <c r="AA66" s="131" t="str">
        <f t="shared" si="1"/>
        <v/>
      </c>
      <c r="AB66" s="132" t="str">
        <f t="shared" ref="AB66:AB70" si="65">+Z66</f>
        <v/>
      </c>
      <c r="AC66" s="131" t="str">
        <f t="shared" si="3"/>
        <v/>
      </c>
      <c r="AD66" s="140" t="str">
        <f>IFERROR(IF(AND(S65="Impacto",S66="Impacto"),(AD65-(+AD65*V66)),IF(S66="Impacto",(O65-(+O65*V66)),IF(S66="Probabilidad",AD65,""))),"")</f>
        <v/>
      </c>
      <c r="AE66" s="133" t="str">
        <f t="shared" ref="AE66:AE67" si="66">IFERROR(IF(OR(AND(AA66="Muy Baja",AC66="Leve"),AND(AA66="Muy Baja",AC66="Menor"),AND(AA66="Baja",AC66="Leve")),"Bajo",IF(OR(AND(AA66="Muy baja",AC66="Moderado"),AND(AA66="Baja",AC66="Menor"),AND(AA66="Baja",AC66="Moderado"),AND(AA66="Media",AC66="Leve"),AND(AA66="Media",AC66="Menor"),AND(AA66="Media",AC66="Moderado"),AND(AA66="Alta",AC66="Leve"),AND(AA66="Alta",AC66="Menor")),"Moderado",IF(OR(AND(AA66="Muy Baja",AC66="Mayor"),AND(AA66="Baja",AC66="Mayor"),AND(AA66="Media",AC66="Mayor"),AND(AA66="Alta",AC66="Moderado"),AND(AA66="Alta",AC66="Mayor"),AND(AA66="Muy Alta",AC66="Leve"),AND(AA66="Muy Alta",AC66="Menor"),AND(AA66="Muy Alta",AC66="Moderado"),AND(AA66="Muy Alta",AC66="Mayor")),"Alto",IF(OR(AND(AA66="Muy Baja",AC66="Catastrófico"),AND(AA66="Baja",AC66="Catastrófico"),AND(AA66="Media",AC66="Catastrófico"),AND(AA66="Alta",AC66="Catastrófico"),AND(AA66="Muy Alta",AC66="Catastrófico")),"Extremo","")))),"")</f>
        <v/>
      </c>
      <c r="AF66" s="134"/>
      <c r="AG66" s="135"/>
      <c r="AH66" s="136"/>
      <c r="AI66" s="137"/>
      <c r="AJ66" s="137"/>
      <c r="AK66" s="135"/>
      <c r="AL66" s="136"/>
    </row>
    <row r="67" spans="1:70" ht="151.5" customHeight="1" x14ac:dyDescent="0.25">
      <c r="A67" s="213"/>
      <c r="B67" s="216"/>
      <c r="C67" s="216"/>
      <c r="D67" s="142"/>
      <c r="E67" s="216"/>
      <c r="F67" s="242"/>
      <c r="G67" s="242"/>
      <c r="H67" s="216"/>
      <c r="I67" s="245"/>
      <c r="J67" s="210"/>
      <c r="K67" s="222"/>
      <c r="L67" s="225"/>
      <c r="M67" s="222">
        <f>IF(NOT(ISERROR(MATCH(L67,_xlfn.ANCHORARRAY(E78),0))),K80&amp;"Por favor no seleccionar los criterios de impacto",L67)</f>
        <v>0</v>
      </c>
      <c r="N67" s="210"/>
      <c r="O67" s="222"/>
      <c r="P67" s="219"/>
      <c r="Q67" s="125">
        <v>3</v>
      </c>
      <c r="R67" s="138"/>
      <c r="S67" s="127" t="str">
        <f>IF(OR(T67="Preventivo",T67="Detectivo"),"Probabilidad",IF(T67="Correctivo","Impacto",""))</f>
        <v/>
      </c>
      <c r="T67" s="128"/>
      <c r="U67" s="128"/>
      <c r="V67" s="129" t="str">
        <f t="shared" si="64"/>
        <v/>
      </c>
      <c r="W67" s="128"/>
      <c r="X67" s="128"/>
      <c r="Y67" s="128"/>
      <c r="Z67" s="130" t="str">
        <f>IFERROR(IF(AND(S66="Probabilidad",S67="Probabilidad"),(AB66-(+AB66*V67)),IF(AND(S66="Impacto",S67="Probabilidad"),(AB65-(+AB65*V67)),IF(S67="Impacto",AB66,""))),"")</f>
        <v/>
      </c>
      <c r="AA67" s="131" t="str">
        <f t="shared" si="1"/>
        <v/>
      </c>
      <c r="AB67" s="132" t="str">
        <f t="shared" si="65"/>
        <v/>
      </c>
      <c r="AC67" s="131" t="str">
        <f t="shared" si="3"/>
        <v/>
      </c>
      <c r="AD67" s="140" t="str">
        <f>IFERROR(IF(AND(S66="Impacto",S67="Impacto"),(AD66-(+AD66*V67)),IF(AND(S66="Probabilidad",S67="Impacto"),(AD65-(+AD65*V67)),IF(S67="Probabilidad",AD66,""))),"")</f>
        <v/>
      </c>
      <c r="AE67" s="133" t="str">
        <f t="shared" si="66"/>
        <v/>
      </c>
      <c r="AF67" s="134"/>
      <c r="AG67" s="135"/>
      <c r="AH67" s="136"/>
      <c r="AI67" s="137"/>
      <c r="AJ67" s="137"/>
      <c r="AK67" s="135"/>
      <c r="AL67" s="136"/>
    </row>
    <row r="68" spans="1:70" ht="151.5" customHeight="1" x14ac:dyDescent="0.25">
      <c r="A68" s="213"/>
      <c r="B68" s="216"/>
      <c r="C68" s="216"/>
      <c r="D68" s="142"/>
      <c r="E68" s="216"/>
      <c r="F68" s="242"/>
      <c r="G68" s="242"/>
      <c r="H68" s="216"/>
      <c r="I68" s="245"/>
      <c r="J68" s="210"/>
      <c r="K68" s="222"/>
      <c r="L68" s="225"/>
      <c r="M68" s="222">
        <f>IF(NOT(ISERROR(MATCH(L68,_xlfn.ANCHORARRAY(E79),0))),K81&amp;"Por favor no seleccionar los criterios de impacto",L68)</f>
        <v>0</v>
      </c>
      <c r="N68" s="210"/>
      <c r="O68" s="222"/>
      <c r="P68" s="219"/>
      <c r="Q68" s="125">
        <v>4</v>
      </c>
      <c r="R68" s="126"/>
      <c r="S68" s="127" t="str">
        <f t="shared" ref="S68:S70" si="67">IF(OR(T68="Preventivo",T68="Detectivo"),"Probabilidad",IF(T68="Correctivo","Impacto",""))</f>
        <v/>
      </c>
      <c r="T68" s="128"/>
      <c r="U68" s="128"/>
      <c r="V68" s="129" t="str">
        <f t="shared" si="64"/>
        <v/>
      </c>
      <c r="W68" s="128"/>
      <c r="X68" s="128"/>
      <c r="Y68" s="128"/>
      <c r="Z68" s="130" t="str">
        <f t="shared" ref="Z68:Z70" si="68">IFERROR(IF(AND(S67="Probabilidad",S68="Probabilidad"),(AB67-(+AB67*V68)),IF(AND(S67="Impacto",S68="Probabilidad"),(AB66-(+AB66*V68)),IF(S68="Impacto",AB67,""))),"")</f>
        <v/>
      </c>
      <c r="AA68" s="131" t="str">
        <f t="shared" si="1"/>
        <v/>
      </c>
      <c r="AB68" s="132" t="str">
        <f t="shared" si="65"/>
        <v/>
      </c>
      <c r="AC68" s="131" t="str">
        <f t="shared" si="3"/>
        <v/>
      </c>
      <c r="AD68" s="140" t="str">
        <f t="shared" ref="AD68:AD70" si="69">IFERROR(IF(AND(S67="Impacto",S68="Impacto"),(AD67-(+AD67*V68)),IF(AND(S67="Probabilidad",S68="Impacto"),(AD66-(+AD66*V68)),IF(S68="Probabilidad",AD67,""))),"")</f>
        <v/>
      </c>
      <c r="AE68" s="133" t="str">
        <f>IFERROR(IF(OR(AND(AA68="Muy Baja",AC68="Leve"),AND(AA68="Muy Baja",AC68="Menor"),AND(AA68="Baja",AC68="Leve")),"Bajo",IF(OR(AND(AA68="Muy baja",AC68="Moderado"),AND(AA68="Baja",AC68="Menor"),AND(AA68="Baja",AC68="Moderado"),AND(AA68="Media",AC68="Leve"),AND(AA68="Media",AC68="Menor"),AND(AA68="Media",AC68="Moderado"),AND(AA68="Alta",AC68="Leve"),AND(AA68="Alta",AC68="Menor")),"Moderado",IF(OR(AND(AA68="Muy Baja",AC68="Mayor"),AND(AA68="Baja",AC68="Mayor"),AND(AA68="Media",AC68="Mayor"),AND(AA68="Alta",AC68="Moderado"),AND(AA68="Alta",AC68="Mayor"),AND(AA68="Muy Alta",AC68="Leve"),AND(AA68="Muy Alta",AC68="Menor"),AND(AA68="Muy Alta",AC68="Moderado"),AND(AA68="Muy Alta",AC68="Mayor")),"Alto",IF(OR(AND(AA68="Muy Baja",AC68="Catastrófico"),AND(AA68="Baja",AC68="Catastrófico"),AND(AA68="Media",AC68="Catastrófico"),AND(AA68="Alta",AC68="Catastrófico"),AND(AA68="Muy Alta",AC68="Catastrófico")),"Extremo","")))),"")</f>
        <v/>
      </c>
      <c r="AF68" s="134"/>
      <c r="AG68" s="135"/>
      <c r="AH68" s="136"/>
      <c r="AI68" s="137"/>
      <c r="AJ68" s="137"/>
      <c r="AK68" s="135"/>
      <c r="AL68" s="136"/>
    </row>
    <row r="69" spans="1:70" ht="151.5" customHeight="1" x14ac:dyDescent="0.25">
      <c r="A69" s="213"/>
      <c r="B69" s="216"/>
      <c r="C69" s="216"/>
      <c r="D69" s="142"/>
      <c r="E69" s="216"/>
      <c r="F69" s="242"/>
      <c r="G69" s="242"/>
      <c r="H69" s="216"/>
      <c r="I69" s="245"/>
      <c r="J69" s="210"/>
      <c r="K69" s="222"/>
      <c r="L69" s="225"/>
      <c r="M69" s="222">
        <f>IF(NOT(ISERROR(MATCH(L69,_xlfn.ANCHORARRAY(E80),0))),K82&amp;"Por favor no seleccionar los criterios de impacto",L69)</f>
        <v>0</v>
      </c>
      <c r="N69" s="210"/>
      <c r="O69" s="222"/>
      <c r="P69" s="219"/>
      <c r="Q69" s="125">
        <v>5</v>
      </c>
      <c r="R69" s="126"/>
      <c r="S69" s="127" t="str">
        <f t="shared" si="67"/>
        <v/>
      </c>
      <c r="T69" s="128"/>
      <c r="U69" s="128"/>
      <c r="V69" s="129" t="str">
        <f t="shared" si="64"/>
        <v/>
      </c>
      <c r="W69" s="128"/>
      <c r="X69" s="128"/>
      <c r="Y69" s="128"/>
      <c r="Z69" s="130" t="str">
        <f t="shared" si="68"/>
        <v/>
      </c>
      <c r="AA69" s="131" t="str">
        <f t="shared" si="1"/>
        <v/>
      </c>
      <c r="AB69" s="132" t="str">
        <f t="shared" si="65"/>
        <v/>
      </c>
      <c r="AC69" s="131" t="str">
        <f t="shared" si="3"/>
        <v/>
      </c>
      <c r="AD69" s="140" t="str">
        <f t="shared" si="69"/>
        <v/>
      </c>
      <c r="AE69" s="133" t="str">
        <f t="shared" ref="AE69:AE70" si="70">IFERROR(IF(OR(AND(AA69="Muy Baja",AC69="Leve"),AND(AA69="Muy Baja",AC69="Menor"),AND(AA69="Baja",AC69="Leve")),"Bajo",IF(OR(AND(AA69="Muy baja",AC69="Moderado"),AND(AA69="Baja",AC69="Menor"),AND(AA69="Baja",AC69="Moderado"),AND(AA69="Media",AC69="Leve"),AND(AA69="Media",AC69="Menor"),AND(AA69="Media",AC69="Moderado"),AND(AA69="Alta",AC69="Leve"),AND(AA69="Alta",AC69="Menor")),"Moderado",IF(OR(AND(AA69="Muy Baja",AC69="Mayor"),AND(AA69="Baja",AC69="Mayor"),AND(AA69="Media",AC69="Mayor"),AND(AA69="Alta",AC69="Moderado"),AND(AA69="Alta",AC69="Mayor"),AND(AA69="Muy Alta",AC69="Leve"),AND(AA69="Muy Alta",AC69="Menor"),AND(AA69="Muy Alta",AC69="Moderado"),AND(AA69="Muy Alta",AC69="Mayor")),"Alto",IF(OR(AND(AA69="Muy Baja",AC69="Catastrófico"),AND(AA69="Baja",AC69="Catastrófico"),AND(AA69="Media",AC69="Catastrófico"),AND(AA69="Alta",AC69="Catastrófico"),AND(AA69="Muy Alta",AC69="Catastrófico")),"Extremo","")))),"")</f>
        <v/>
      </c>
      <c r="AF69" s="134"/>
      <c r="AG69" s="135"/>
      <c r="AH69" s="136"/>
      <c r="AI69" s="137"/>
      <c r="AJ69" s="137"/>
      <c r="AK69" s="135"/>
      <c r="AL69" s="136"/>
    </row>
    <row r="70" spans="1:70" ht="151.5" customHeight="1" x14ac:dyDescent="0.25">
      <c r="A70" s="214"/>
      <c r="B70" s="217"/>
      <c r="C70" s="217"/>
      <c r="D70" s="143"/>
      <c r="E70" s="217"/>
      <c r="F70" s="243"/>
      <c r="G70" s="243"/>
      <c r="H70" s="217"/>
      <c r="I70" s="246"/>
      <c r="J70" s="211"/>
      <c r="K70" s="223"/>
      <c r="L70" s="226"/>
      <c r="M70" s="223">
        <f>IF(NOT(ISERROR(MATCH(L70,_xlfn.ANCHORARRAY(E81),0))),K83&amp;"Por favor no seleccionar los criterios de impacto",L70)</f>
        <v>0</v>
      </c>
      <c r="N70" s="211"/>
      <c r="O70" s="223"/>
      <c r="P70" s="220"/>
      <c r="Q70" s="125">
        <v>6</v>
      </c>
      <c r="R70" s="126"/>
      <c r="S70" s="127" t="str">
        <f t="shared" si="67"/>
        <v/>
      </c>
      <c r="T70" s="128"/>
      <c r="U70" s="128"/>
      <c r="V70" s="129" t="str">
        <f t="shared" si="64"/>
        <v/>
      </c>
      <c r="W70" s="128"/>
      <c r="X70" s="128"/>
      <c r="Y70" s="128"/>
      <c r="Z70" s="130" t="str">
        <f t="shared" si="68"/>
        <v/>
      </c>
      <c r="AA70" s="131" t="str">
        <f t="shared" si="1"/>
        <v/>
      </c>
      <c r="AB70" s="132" t="str">
        <f t="shared" si="65"/>
        <v/>
      </c>
      <c r="AC70" s="131" t="str">
        <f t="shared" si="3"/>
        <v/>
      </c>
      <c r="AD70" s="140" t="str">
        <f t="shared" si="69"/>
        <v/>
      </c>
      <c r="AE70" s="133" t="str">
        <f t="shared" si="70"/>
        <v/>
      </c>
      <c r="AF70" s="134"/>
      <c r="AG70" s="135"/>
      <c r="AH70" s="136"/>
      <c r="AI70" s="137"/>
      <c r="AJ70" s="137"/>
      <c r="AK70" s="135"/>
      <c r="AL70" s="136"/>
    </row>
    <row r="71" spans="1:70" ht="49.5" customHeight="1" x14ac:dyDescent="0.25">
      <c r="A71" s="6"/>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7"/>
      <c r="AC71" s="247"/>
      <c r="AD71" s="247"/>
      <c r="AE71" s="247"/>
      <c r="AF71" s="247"/>
      <c r="AG71" s="247"/>
      <c r="AH71" s="247"/>
      <c r="AI71" s="247"/>
      <c r="AJ71" s="247"/>
      <c r="AK71" s="247"/>
      <c r="AL71" s="248"/>
    </row>
    <row r="73" spans="1:70" x14ac:dyDescent="0.25">
      <c r="A73" s="1"/>
      <c r="B73" s="24"/>
      <c r="C73" s="1"/>
      <c r="D73" s="1"/>
      <c r="F73" s="1"/>
      <c r="G73" s="1"/>
      <c r="H73" s="1"/>
    </row>
  </sheetData>
  <dataConsolidate/>
  <mergeCells count="200">
    <mergeCell ref="P47:P52"/>
    <mergeCell ref="H53:H58"/>
    <mergeCell ref="I53:I58"/>
    <mergeCell ref="J53:J58"/>
    <mergeCell ref="K53:K58"/>
    <mergeCell ref="L53:L58"/>
    <mergeCell ref="H47:H52"/>
    <mergeCell ref="I47:I52"/>
    <mergeCell ref="J47:J52"/>
    <mergeCell ref="K47:K52"/>
    <mergeCell ref="M53:M58"/>
    <mergeCell ref="N53:N58"/>
    <mergeCell ref="O53:O58"/>
    <mergeCell ref="P53:P58"/>
    <mergeCell ref="Q4:S4"/>
    <mergeCell ref="A1:AL2"/>
    <mergeCell ref="A8:I8"/>
    <mergeCell ref="J8:P8"/>
    <mergeCell ref="Q8:Y8"/>
    <mergeCell ref="Z8:AF8"/>
    <mergeCell ref="AG8:AL8"/>
    <mergeCell ref="AG9:AG10"/>
    <mergeCell ref="AL9:AL10"/>
    <mergeCell ref="AK9:AK10"/>
    <mergeCell ref="AJ9:AJ10"/>
    <mergeCell ref="AI9:AI10"/>
    <mergeCell ref="AH9:AH10"/>
    <mergeCell ref="A6:B6"/>
    <mergeCell ref="A7:B7"/>
    <mergeCell ref="A9:A10"/>
    <mergeCell ref="H9:H10"/>
    <mergeCell ref="G9:G10"/>
    <mergeCell ref="E9:E10"/>
    <mergeCell ref="A59:A64"/>
    <mergeCell ref="B59:B64"/>
    <mergeCell ref="E59:E64"/>
    <mergeCell ref="G59:G64"/>
    <mergeCell ref="H59:H64"/>
    <mergeCell ref="Q5:S5"/>
    <mergeCell ref="B9:B10"/>
    <mergeCell ref="D9:D10"/>
    <mergeCell ref="F9:F10"/>
    <mergeCell ref="C9:C10"/>
    <mergeCell ref="F17:F22"/>
    <mergeCell ref="F23:F28"/>
    <mergeCell ref="F29:F34"/>
    <mergeCell ref="F35:F40"/>
    <mergeCell ref="F41:F46"/>
    <mergeCell ref="F47:F52"/>
    <mergeCell ref="F53:F58"/>
    <mergeCell ref="F59:F64"/>
    <mergeCell ref="C17:C22"/>
    <mergeCell ref="C23:C28"/>
    <mergeCell ref="C29:C34"/>
    <mergeCell ref="C35:C40"/>
    <mergeCell ref="C41:C46"/>
    <mergeCell ref="C47:C52"/>
    <mergeCell ref="A65:A70"/>
    <mergeCell ref="B65:B70"/>
    <mergeCell ref="E65:E70"/>
    <mergeCell ref="G65:G70"/>
    <mergeCell ref="H65:H70"/>
    <mergeCell ref="I65:I70"/>
    <mergeCell ref="J65:J70"/>
    <mergeCell ref="K65:K70"/>
    <mergeCell ref="L65:L70"/>
    <mergeCell ref="C65:C70"/>
    <mergeCell ref="F65:F70"/>
    <mergeCell ref="I41:I46"/>
    <mergeCell ref="J41:J46"/>
    <mergeCell ref="K41:K46"/>
    <mergeCell ref="M35:M40"/>
    <mergeCell ref="N35:N40"/>
    <mergeCell ref="P35:P40"/>
    <mergeCell ref="P41:P46"/>
    <mergeCell ref="N41:N46"/>
    <mergeCell ref="B71:AL71"/>
    <mergeCell ref="O59:O64"/>
    <mergeCell ref="P59:P64"/>
    <mergeCell ref="M65:M70"/>
    <mergeCell ref="N65:N70"/>
    <mergeCell ref="O65:O70"/>
    <mergeCell ref="P65:P70"/>
    <mergeCell ref="L59:L64"/>
    <mergeCell ref="M59:M64"/>
    <mergeCell ref="N59:N64"/>
    <mergeCell ref="C53:C58"/>
    <mergeCell ref="C59:C64"/>
    <mergeCell ref="I59:I64"/>
    <mergeCell ref="J59:J64"/>
    <mergeCell ref="K59:K64"/>
    <mergeCell ref="O47:O52"/>
    <mergeCell ref="A53:A58"/>
    <mergeCell ref="B53:B58"/>
    <mergeCell ref="E53:E58"/>
    <mergeCell ref="G53:G58"/>
    <mergeCell ref="A47:A52"/>
    <mergeCell ref="B47:B52"/>
    <mergeCell ref="E47:E52"/>
    <mergeCell ref="G47:G52"/>
    <mergeCell ref="O35:O40"/>
    <mergeCell ref="O41:O46"/>
    <mergeCell ref="L47:L52"/>
    <mergeCell ref="M47:M52"/>
    <mergeCell ref="N47:N52"/>
    <mergeCell ref="A35:A40"/>
    <mergeCell ref="B35:B40"/>
    <mergeCell ref="A41:A46"/>
    <mergeCell ref="B41:B46"/>
    <mergeCell ref="E41:E46"/>
    <mergeCell ref="G41:G46"/>
    <mergeCell ref="H41:H46"/>
    <mergeCell ref="E35:E40"/>
    <mergeCell ref="G35:G40"/>
    <mergeCell ref="L41:L46"/>
    <mergeCell ref="M41:M46"/>
    <mergeCell ref="H35:H40"/>
    <mergeCell ref="I35:I40"/>
    <mergeCell ref="J35:J40"/>
    <mergeCell ref="O23:O28"/>
    <mergeCell ref="P23:P28"/>
    <mergeCell ref="A29:A34"/>
    <mergeCell ref="B29:B34"/>
    <mergeCell ref="E29:E34"/>
    <mergeCell ref="G29:G34"/>
    <mergeCell ref="H29:H34"/>
    <mergeCell ref="I29:I34"/>
    <mergeCell ref="J29:J34"/>
    <mergeCell ref="K29:K34"/>
    <mergeCell ref="L29:L34"/>
    <mergeCell ref="M29:M34"/>
    <mergeCell ref="N29:N34"/>
    <mergeCell ref="O29:O34"/>
    <mergeCell ref="P29:P34"/>
    <mergeCell ref="K35:K40"/>
    <mergeCell ref="L35:L40"/>
    <mergeCell ref="M17:M22"/>
    <mergeCell ref="N17:N22"/>
    <mergeCell ref="O17:O22"/>
    <mergeCell ref="P17:P22"/>
    <mergeCell ref="A23:A28"/>
    <mergeCell ref="B23:B28"/>
    <mergeCell ref="E23:E28"/>
    <mergeCell ref="G23:G28"/>
    <mergeCell ref="H23:H28"/>
    <mergeCell ref="I23:I28"/>
    <mergeCell ref="J23:J28"/>
    <mergeCell ref="K23:K28"/>
    <mergeCell ref="L23:L28"/>
    <mergeCell ref="M23:M28"/>
    <mergeCell ref="N23:N28"/>
    <mergeCell ref="H17:H22"/>
    <mergeCell ref="I17:I22"/>
    <mergeCell ref="J17:J22"/>
    <mergeCell ref="K17:K22"/>
    <mergeCell ref="L17:L22"/>
    <mergeCell ref="A17:A22"/>
    <mergeCell ref="B17:B22"/>
    <mergeCell ref="E17:E22"/>
    <mergeCell ref="G17:G22"/>
    <mergeCell ref="AF9:AF10"/>
    <mergeCell ref="C6:P6"/>
    <mergeCell ref="C7:P7"/>
    <mergeCell ref="Q9:Q10"/>
    <mergeCell ref="AE9:AE10"/>
    <mergeCell ref="AD9:AD10"/>
    <mergeCell ref="Z9:Z10"/>
    <mergeCell ref="R9:R10"/>
    <mergeCell ref="AC9:AC10"/>
    <mergeCell ref="AA9:AA10"/>
    <mergeCell ref="AB9:AB10"/>
    <mergeCell ref="I9:I10"/>
    <mergeCell ref="J9:J10"/>
    <mergeCell ref="K9:K10"/>
    <mergeCell ref="N9:N10"/>
    <mergeCell ref="O9:O10"/>
    <mergeCell ref="P9:P10"/>
    <mergeCell ref="L9:L10"/>
    <mergeCell ref="M9:M10"/>
    <mergeCell ref="S9:S10"/>
    <mergeCell ref="T9:Y9"/>
    <mergeCell ref="C4:P4"/>
    <mergeCell ref="H11:H16"/>
    <mergeCell ref="I11:I16"/>
    <mergeCell ref="J11:J16"/>
    <mergeCell ref="A11:A16"/>
    <mergeCell ref="B11:B16"/>
    <mergeCell ref="E11:E16"/>
    <mergeCell ref="G11:G16"/>
    <mergeCell ref="P11:P16"/>
    <mergeCell ref="K11:K16"/>
    <mergeCell ref="L11:L16"/>
    <mergeCell ref="M11:M16"/>
    <mergeCell ref="N11:N16"/>
    <mergeCell ref="O11:O16"/>
    <mergeCell ref="F11:F16"/>
    <mergeCell ref="C11:C16"/>
    <mergeCell ref="A4:B4"/>
    <mergeCell ref="A5:B5"/>
    <mergeCell ref="C5:P5"/>
  </mergeCells>
  <conditionalFormatting sqref="J11 J17">
    <cfRule type="cellIs" dxfId="238" priority="319" operator="equal">
      <formula>"Muy Alta"</formula>
    </cfRule>
    <cfRule type="cellIs" dxfId="237" priority="320" operator="equal">
      <formula>"Alta"</formula>
    </cfRule>
    <cfRule type="cellIs" dxfId="236" priority="321" operator="equal">
      <formula>"Media"</formula>
    </cfRule>
    <cfRule type="cellIs" dxfId="235" priority="322" operator="equal">
      <formula>"Baja"</formula>
    </cfRule>
    <cfRule type="cellIs" dxfId="234" priority="323" operator="equal">
      <formula>"Muy Baja"</formula>
    </cfRule>
  </conditionalFormatting>
  <conditionalFormatting sqref="N11 N17 N23 N29 N35 N41 N47 N53 N59 N65">
    <cfRule type="cellIs" dxfId="233" priority="314" operator="equal">
      <formula>"Catastrófico"</formula>
    </cfRule>
    <cfRule type="cellIs" dxfId="232" priority="315" operator="equal">
      <formula>"Mayor"</formula>
    </cfRule>
    <cfRule type="cellIs" dxfId="231" priority="316" operator="equal">
      <formula>"Moderado"</formula>
    </cfRule>
    <cfRule type="cellIs" dxfId="230" priority="317" operator="equal">
      <formula>"Menor"</formula>
    </cfRule>
    <cfRule type="cellIs" dxfId="229" priority="318" operator="equal">
      <formula>"Leve"</formula>
    </cfRule>
  </conditionalFormatting>
  <conditionalFormatting sqref="P11">
    <cfRule type="cellIs" dxfId="228" priority="310" operator="equal">
      <formula>"Extremo"</formula>
    </cfRule>
    <cfRule type="cellIs" dxfId="227" priority="311" operator="equal">
      <formula>"Alto"</formula>
    </cfRule>
    <cfRule type="cellIs" dxfId="226" priority="312" operator="equal">
      <formula>"Moderado"</formula>
    </cfRule>
    <cfRule type="cellIs" dxfId="225" priority="313" operator="equal">
      <formula>"Bajo"</formula>
    </cfRule>
  </conditionalFormatting>
  <conditionalFormatting sqref="AA11:AA16">
    <cfRule type="cellIs" dxfId="224" priority="305" operator="equal">
      <formula>"Muy Alta"</formula>
    </cfRule>
    <cfRule type="cellIs" dxfId="223" priority="306" operator="equal">
      <formula>"Alta"</formula>
    </cfRule>
    <cfRule type="cellIs" dxfId="222" priority="307" operator="equal">
      <formula>"Media"</formula>
    </cfRule>
    <cfRule type="cellIs" dxfId="221" priority="308" operator="equal">
      <formula>"Baja"</formula>
    </cfRule>
    <cfRule type="cellIs" dxfId="220" priority="309" operator="equal">
      <formula>"Muy Baja"</formula>
    </cfRule>
  </conditionalFormatting>
  <conditionalFormatting sqref="AC11:AC16">
    <cfRule type="cellIs" dxfId="219" priority="300" operator="equal">
      <formula>"Catastrófico"</formula>
    </cfRule>
    <cfRule type="cellIs" dxfId="218" priority="301" operator="equal">
      <formula>"Mayor"</formula>
    </cfRule>
    <cfRule type="cellIs" dxfId="217" priority="302" operator="equal">
      <formula>"Moderado"</formula>
    </cfRule>
    <cfRule type="cellIs" dxfId="216" priority="303" operator="equal">
      <formula>"Menor"</formula>
    </cfRule>
    <cfRule type="cellIs" dxfId="215" priority="304" operator="equal">
      <formula>"Leve"</formula>
    </cfRule>
  </conditionalFormatting>
  <conditionalFormatting sqref="AE11:AE16">
    <cfRule type="cellIs" dxfId="214" priority="296" operator="equal">
      <formula>"Extremo"</formula>
    </cfRule>
    <cfRule type="cellIs" dxfId="213" priority="297" operator="equal">
      <formula>"Alto"</formula>
    </cfRule>
    <cfRule type="cellIs" dxfId="212" priority="298" operator="equal">
      <formula>"Moderado"</formula>
    </cfRule>
    <cfRule type="cellIs" dxfId="211" priority="299" operator="equal">
      <formula>"Bajo"</formula>
    </cfRule>
  </conditionalFormatting>
  <conditionalFormatting sqref="J59">
    <cfRule type="cellIs" dxfId="210" priority="53" operator="equal">
      <formula>"Muy Alta"</formula>
    </cfRule>
    <cfRule type="cellIs" dxfId="209" priority="54" operator="equal">
      <formula>"Alta"</formula>
    </cfRule>
    <cfRule type="cellIs" dxfId="208" priority="55" operator="equal">
      <formula>"Media"</formula>
    </cfRule>
    <cfRule type="cellIs" dxfId="207" priority="56" operator="equal">
      <formula>"Baja"</formula>
    </cfRule>
    <cfRule type="cellIs" dxfId="206" priority="57" operator="equal">
      <formula>"Muy Baja"</formula>
    </cfRule>
  </conditionalFormatting>
  <conditionalFormatting sqref="P17">
    <cfRule type="cellIs" dxfId="205" priority="240" operator="equal">
      <formula>"Extremo"</formula>
    </cfRule>
    <cfRule type="cellIs" dxfId="204" priority="241" operator="equal">
      <formula>"Alto"</formula>
    </cfRule>
    <cfRule type="cellIs" dxfId="203" priority="242" operator="equal">
      <formula>"Moderado"</formula>
    </cfRule>
    <cfRule type="cellIs" dxfId="202" priority="243" operator="equal">
      <formula>"Bajo"</formula>
    </cfRule>
  </conditionalFormatting>
  <conditionalFormatting sqref="AA17:AA22">
    <cfRule type="cellIs" dxfId="201" priority="235" operator="equal">
      <formula>"Muy Alta"</formula>
    </cfRule>
    <cfRule type="cellIs" dxfId="200" priority="236" operator="equal">
      <formula>"Alta"</formula>
    </cfRule>
    <cfRule type="cellIs" dxfId="199" priority="237" operator="equal">
      <formula>"Media"</formula>
    </cfRule>
    <cfRule type="cellIs" dxfId="198" priority="238" operator="equal">
      <formula>"Baja"</formula>
    </cfRule>
    <cfRule type="cellIs" dxfId="197" priority="239" operator="equal">
      <formula>"Muy Baja"</formula>
    </cfRule>
  </conditionalFormatting>
  <conditionalFormatting sqref="AC17:AC22">
    <cfRule type="cellIs" dxfId="196" priority="230" operator="equal">
      <formula>"Catastrófico"</formula>
    </cfRule>
    <cfRule type="cellIs" dxfId="195" priority="231" operator="equal">
      <formula>"Mayor"</formula>
    </cfRule>
    <cfRule type="cellIs" dxfId="194" priority="232" operator="equal">
      <formula>"Moderado"</formula>
    </cfRule>
    <cfRule type="cellIs" dxfId="193" priority="233" operator="equal">
      <formula>"Menor"</formula>
    </cfRule>
    <cfRule type="cellIs" dxfId="192" priority="234" operator="equal">
      <formula>"Leve"</formula>
    </cfRule>
  </conditionalFormatting>
  <conditionalFormatting sqref="AE17:AE22">
    <cfRule type="cellIs" dxfId="191" priority="226" operator="equal">
      <formula>"Extremo"</formula>
    </cfRule>
    <cfRule type="cellIs" dxfId="190" priority="227" operator="equal">
      <formula>"Alto"</formula>
    </cfRule>
    <cfRule type="cellIs" dxfId="189" priority="228" operator="equal">
      <formula>"Moderado"</formula>
    </cfRule>
    <cfRule type="cellIs" dxfId="188" priority="229" operator="equal">
      <formula>"Bajo"</formula>
    </cfRule>
  </conditionalFormatting>
  <conditionalFormatting sqref="J23">
    <cfRule type="cellIs" dxfId="187" priority="221" operator="equal">
      <formula>"Muy Alta"</formula>
    </cfRule>
    <cfRule type="cellIs" dxfId="186" priority="222" operator="equal">
      <formula>"Alta"</formula>
    </cfRule>
    <cfRule type="cellIs" dxfId="185" priority="223" operator="equal">
      <formula>"Media"</formula>
    </cfRule>
    <cfRule type="cellIs" dxfId="184" priority="224" operator="equal">
      <formula>"Baja"</formula>
    </cfRule>
    <cfRule type="cellIs" dxfId="183" priority="225" operator="equal">
      <formula>"Muy Baja"</formula>
    </cfRule>
  </conditionalFormatting>
  <conditionalFormatting sqref="P23">
    <cfRule type="cellIs" dxfId="182" priority="212" operator="equal">
      <formula>"Extremo"</formula>
    </cfRule>
    <cfRule type="cellIs" dxfId="181" priority="213" operator="equal">
      <formula>"Alto"</formula>
    </cfRule>
    <cfRule type="cellIs" dxfId="180" priority="214" operator="equal">
      <formula>"Moderado"</formula>
    </cfRule>
    <cfRule type="cellIs" dxfId="179" priority="215" operator="equal">
      <formula>"Bajo"</formula>
    </cfRule>
  </conditionalFormatting>
  <conditionalFormatting sqref="AA23:AA28">
    <cfRule type="cellIs" dxfId="178" priority="207" operator="equal">
      <formula>"Muy Alta"</formula>
    </cfRule>
    <cfRule type="cellIs" dxfId="177" priority="208" operator="equal">
      <formula>"Alta"</formula>
    </cfRule>
    <cfRule type="cellIs" dxfId="176" priority="209" operator="equal">
      <formula>"Media"</formula>
    </cfRule>
    <cfRule type="cellIs" dxfId="175" priority="210" operator="equal">
      <formula>"Baja"</formula>
    </cfRule>
    <cfRule type="cellIs" dxfId="174" priority="211" operator="equal">
      <formula>"Muy Baja"</formula>
    </cfRule>
  </conditionalFormatting>
  <conditionalFormatting sqref="AC23:AC28">
    <cfRule type="cellIs" dxfId="173" priority="202" operator="equal">
      <formula>"Catastrófico"</formula>
    </cfRule>
    <cfRule type="cellIs" dxfId="172" priority="203" operator="equal">
      <formula>"Mayor"</formula>
    </cfRule>
    <cfRule type="cellIs" dxfId="171" priority="204" operator="equal">
      <formula>"Moderado"</formula>
    </cfRule>
    <cfRule type="cellIs" dxfId="170" priority="205" operator="equal">
      <formula>"Menor"</formula>
    </cfRule>
    <cfRule type="cellIs" dxfId="169" priority="206" operator="equal">
      <formula>"Leve"</formula>
    </cfRule>
  </conditionalFormatting>
  <conditionalFormatting sqref="AE23:AE28">
    <cfRule type="cellIs" dxfId="168" priority="198" operator="equal">
      <formula>"Extremo"</formula>
    </cfRule>
    <cfRule type="cellIs" dxfId="167" priority="199" operator="equal">
      <formula>"Alto"</formula>
    </cfRule>
    <cfRule type="cellIs" dxfId="166" priority="200" operator="equal">
      <formula>"Moderado"</formula>
    </cfRule>
    <cfRule type="cellIs" dxfId="165" priority="201" operator="equal">
      <formula>"Bajo"</formula>
    </cfRule>
  </conditionalFormatting>
  <conditionalFormatting sqref="J29">
    <cfRule type="cellIs" dxfId="164" priority="193" operator="equal">
      <formula>"Muy Alta"</formula>
    </cfRule>
    <cfRule type="cellIs" dxfId="163" priority="194" operator="equal">
      <formula>"Alta"</formula>
    </cfRule>
    <cfRule type="cellIs" dxfId="162" priority="195" operator="equal">
      <formula>"Media"</formula>
    </cfRule>
    <cfRule type="cellIs" dxfId="161" priority="196" operator="equal">
      <formula>"Baja"</formula>
    </cfRule>
    <cfRule type="cellIs" dxfId="160" priority="197" operator="equal">
      <formula>"Muy Baja"</formula>
    </cfRule>
  </conditionalFormatting>
  <conditionalFormatting sqref="P29">
    <cfRule type="cellIs" dxfId="159" priority="184" operator="equal">
      <formula>"Extremo"</formula>
    </cfRule>
    <cfRule type="cellIs" dxfId="158" priority="185" operator="equal">
      <formula>"Alto"</formula>
    </cfRule>
    <cfRule type="cellIs" dxfId="157" priority="186" operator="equal">
      <formula>"Moderado"</formula>
    </cfRule>
    <cfRule type="cellIs" dxfId="156" priority="187" operator="equal">
      <formula>"Bajo"</formula>
    </cfRule>
  </conditionalFormatting>
  <conditionalFormatting sqref="AA29:AA34">
    <cfRule type="cellIs" dxfId="155" priority="179" operator="equal">
      <formula>"Muy Alta"</formula>
    </cfRule>
    <cfRule type="cellIs" dxfId="154" priority="180" operator="equal">
      <formula>"Alta"</formula>
    </cfRule>
    <cfRule type="cellIs" dxfId="153" priority="181" operator="equal">
      <formula>"Media"</formula>
    </cfRule>
    <cfRule type="cellIs" dxfId="152" priority="182" operator="equal">
      <formula>"Baja"</formula>
    </cfRule>
    <cfRule type="cellIs" dxfId="151" priority="183" operator="equal">
      <formula>"Muy Baja"</formula>
    </cfRule>
  </conditionalFormatting>
  <conditionalFormatting sqref="AC29:AC34">
    <cfRule type="cellIs" dxfId="150" priority="174" operator="equal">
      <formula>"Catastrófico"</formula>
    </cfRule>
    <cfRule type="cellIs" dxfId="149" priority="175" operator="equal">
      <formula>"Mayor"</formula>
    </cfRule>
    <cfRule type="cellIs" dxfId="148" priority="176" operator="equal">
      <formula>"Moderado"</formula>
    </cfRule>
    <cfRule type="cellIs" dxfId="147" priority="177" operator="equal">
      <formula>"Menor"</formula>
    </cfRule>
    <cfRule type="cellIs" dxfId="146" priority="178" operator="equal">
      <formula>"Leve"</formula>
    </cfRule>
  </conditionalFormatting>
  <conditionalFormatting sqref="AE29:AE34">
    <cfRule type="cellIs" dxfId="145" priority="170" operator="equal">
      <formula>"Extremo"</formula>
    </cfRule>
    <cfRule type="cellIs" dxfId="144" priority="171" operator="equal">
      <formula>"Alto"</formula>
    </cfRule>
    <cfRule type="cellIs" dxfId="143" priority="172" operator="equal">
      <formula>"Moderado"</formula>
    </cfRule>
    <cfRule type="cellIs" dxfId="142" priority="173" operator="equal">
      <formula>"Bajo"</formula>
    </cfRule>
  </conditionalFormatting>
  <conditionalFormatting sqref="J35">
    <cfRule type="cellIs" dxfId="141" priority="165" operator="equal">
      <formula>"Muy Alta"</formula>
    </cfRule>
    <cfRule type="cellIs" dxfId="140" priority="166" operator="equal">
      <formula>"Alta"</formula>
    </cfRule>
    <cfRule type="cellIs" dxfId="139" priority="167" operator="equal">
      <formula>"Media"</formula>
    </cfRule>
    <cfRule type="cellIs" dxfId="138" priority="168" operator="equal">
      <formula>"Baja"</formula>
    </cfRule>
    <cfRule type="cellIs" dxfId="137" priority="169" operator="equal">
      <formula>"Muy Baja"</formula>
    </cfRule>
  </conditionalFormatting>
  <conditionalFormatting sqref="P35">
    <cfRule type="cellIs" dxfId="136" priority="156" operator="equal">
      <formula>"Extremo"</formula>
    </cfRule>
    <cfRule type="cellIs" dxfId="135" priority="157" operator="equal">
      <formula>"Alto"</formula>
    </cfRule>
    <cfRule type="cellIs" dxfId="134" priority="158" operator="equal">
      <formula>"Moderado"</formula>
    </cfRule>
    <cfRule type="cellIs" dxfId="133" priority="159" operator="equal">
      <formula>"Bajo"</formula>
    </cfRule>
  </conditionalFormatting>
  <conditionalFormatting sqref="AA35:AA40">
    <cfRule type="cellIs" dxfId="132" priority="151" operator="equal">
      <formula>"Muy Alta"</formula>
    </cfRule>
    <cfRule type="cellIs" dxfId="131" priority="152" operator="equal">
      <formula>"Alta"</formula>
    </cfRule>
    <cfRule type="cellIs" dxfId="130" priority="153" operator="equal">
      <formula>"Media"</formula>
    </cfRule>
    <cfRule type="cellIs" dxfId="129" priority="154" operator="equal">
      <formula>"Baja"</formula>
    </cfRule>
    <cfRule type="cellIs" dxfId="128" priority="155" operator="equal">
      <formula>"Muy Baja"</formula>
    </cfRule>
  </conditionalFormatting>
  <conditionalFormatting sqref="AC35:AC40">
    <cfRule type="cellIs" dxfId="127" priority="146" operator="equal">
      <formula>"Catastrófico"</formula>
    </cfRule>
    <cfRule type="cellIs" dxfId="126" priority="147" operator="equal">
      <formula>"Mayor"</formula>
    </cfRule>
    <cfRule type="cellIs" dxfId="125" priority="148" operator="equal">
      <formula>"Moderado"</formula>
    </cfRule>
    <cfRule type="cellIs" dxfId="124" priority="149" operator="equal">
      <formula>"Menor"</formula>
    </cfRule>
    <cfRule type="cellIs" dxfId="123" priority="150" operator="equal">
      <formula>"Leve"</formula>
    </cfRule>
  </conditionalFormatting>
  <conditionalFormatting sqref="AE35:AE40">
    <cfRule type="cellIs" dxfId="122" priority="142" operator="equal">
      <formula>"Extremo"</formula>
    </cfRule>
    <cfRule type="cellIs" dxfId="121" priority="143" operator="equal">
      <formula>"Alto"</formula>
    </cfRule>
    <cfRule type="cellIs" dxfId="120" priority="144" operator="equal">
      <formula>"Moderado"</formula>
    </cfRule>
    <cfRule type="cellIs" dxfId="119" priority="145" operator="equal">
      <formula>"Bajo"</formula>
    </cfRule>
  </conditionalFormatting>
  <conditionalFormatting sqref="J41">
    <cfRule type="cellIs" dxfId="118" priority="137" operator="equal">
      <formula>"Muy Alta"</formula>
    </cfRule>
    <cfRule type="cellIs" dxfId="117" priority="138" operator="equal">
      <formula>"Alta"</formula>
    </cfRule>
    <cfRule type="cellIs" dxfId="116" priority="139" operator="equal">
      <formula>"Media"</formula>
    </cfRule>
    <cfRule type="cellIs" dxfId="115" priority="140" operator="equal">
      <formula>"Baja"</formula>
    </cfRule>
    <cfRule type="cellIs" dxfId="114" priority="141" operator="equal">
      <formula>"Muy Baja"</formula>
    </cfRule>
  </conditionalFormatting>
  <conditionalFormatting sqref="P41">
    <cfRule type="cellIs" dxfId="113" priority="128" operator="equal">
      <formula>"Extremo"</formula>
    </cfRule>
    <cfRule type="cellIs" dxfId="112" priority="129" operator="equal">
      <formula>"Alto"</formula>
    </cfRule>
    <cfRule type="cellIs" dxfId="111" priority="130" operator="equal">
      <formula>"Moderado"</formula>
    </cfRule>
    <cfRule type="cellIs" dxfId="110" priority="131" operator="equal">
      <formula>"Bajo"</formula>
    </cfRule>
  </conditionalFormatting>
  <conditionalFormatting sqref="AA41:AA46">
    <cfRule type="cellIs" dxfId="109" priority="123" operator="equal">
      <formula>"Muy Alta"</formula>
    </cfRule>
    <cfRule type="cellIs" dxfId="108" priority="124" operator="equal">
      <formula>"Alta"</formula>
    </cfRule>
    <cfRule type="cellIs" dxfId="107" priority="125" operator="equal">
      <formula>"Media"</formula>
    </cfRule>
    <cfRule type="cellIs" dxfId="106" priority="126" operator="equal">
      <formula>"Baja"</formula>
    </cfRule>
    <cfRule type="cellIs" dxfId="105" priority="127" operator="equal">
      <formula>"Muy Baja"</formula>
    </cfRule>
  </conditionalFormatting>
  <conditionalFormatting sqref="AC41:AC46">
    <cfRule type="cellIs" dxfId="104" priority="118" operator="equal">
      <formula>"Catastrófico"</formula>
    </cfRule>
    <cfRule type="cellIs" dxfId="103" priority="119" operator="equal">
      <formula>"Mayor"</formula>
    </cfRule>
    <cfRule type="cellIs" dxfId="102" priority="120" operator="equal">
      <formula>"Moderado"</formula>
    </cfRule>
    <cfRule type="cellIs" dxfId="101" priority="121" operator="equal">
      <formula>"Menor"</formula>
    </cfRule>
    <cfRule type="cellIs" dxfId="100" priority="122" operator="equal">
      <formula>"Leve"</formula>
    </cfRule>
  </conditionalFormatting>
  <conditionalFormatting sqref="AE41:AE46">
    <cfRule type="cellIs" dxfId="99" priority="114" operator="equal">
      <formula>"Extremo"</formula>
    </cfRule>
    <cfRule type="cellIs" dxfId="98" priority="115" operator="equal">
      <formula>"Alto"</formula>
    </cfRule>
    <cfRule type="cellIs" dxfId="97" priority="116" operator="equal">
      <formula>"Moderado"</formula>
    </cfRule>
    <cfRule type="cellIs" dxfId="96" priority="117" operator="equal">
      <formula>"Bajo"</formula>
    </cfRule>
  </conditionalFormatting>
  <conditionalFormatting sqref="J47">
    <cfRule type="cellIs" dxfId="95" priority="109" operator="equal">
      <formula>"Muy Alta"</formula>
    </cfRule>
    <cfRule type="cellIs" dxfId="94" priority="110" operator="equal">
      <formula>"Alta"</formula>
    </cfRule>
    <cfRule type="cellIs" dxfId="93" priority="111" operator="equal">
      <formula>"Media"</formula>
    </cfRule>
    <cfRule type="cellIs" dxfId="92" priority="112" operator="equal">
      <formula>"Baja"</formula>
    </cfRule>
    <cfRule type="cellIs" dxfId="91" priority="113" operator="equal">
      <formula>"Muy Baja"</formula>
    </cfRule>
  </conditionalFormatting>
  <conditionalFormatting sqref="P47">
    <cfRule type="cellIs" dxfId="90" priority="100" operator="equal">
      <formula>"Extremo"</formula>
    </cfRule>
    <cfRule type="cellIs" dxfId="89" priority="101" operator="equal">
      <formula>"Alto"</formula>
    </cfRule>
    <cfRule type="cellIs" dxfId="88" priority="102" operator="equal">
      <formula>"Moderado"</formula>
    </cfRule>
    <cfRule type="cellIs" dxfId="87" priority="103" operator="equal">
      <formula>"Bajo"</formula>
    </cfRule>
  </conditionalFormatting>
  <conditionalFormatting sqref="AA47:AA52">
    <cfRule type="cellIs" dxfId="86" priority="95" operator="equal">
      <formula>"Muy Alta"</formula>
    </cfRule>
    <cfRule type="cellIs" dxfId="85" priority="96" operator="equal">
      <formula>"Alta"</formula>
    </cfRule>
    <cfRule type="cellIs" dxfId="84" priority="97" operator="equal">
      <formula>"Media"</formula>
    </cfRule>
    <cfRule type="cellIs" dxfId="83" priority="98" operator="equal">
      <formula>"Baja"</formula>
    </cfRule>
    <cfRule type="cellIs" dxfId="82" priority="99" operator="equal">
      <formula>"Muy Baja"</formula>
    </cfRule>
  </conditionalFormatting>
  <conditionalFormatting sqref="AC47:AC52">
    <cfRule type="cellIs" dxfId="81" priority="90" operator="equal">
      <formula>"Catastrófico"</formula>
    </cfRule>
    <cfRule type="cellIs" dxfId="80" priority="91" operator="equal">
      <formula>"Mayor"</formula>
    </cfRule>
    <cfRule type="cellIs" dxfId="79" priority="92" operator="equal">
      <formula>"Moderado"</formula>
    </cfRule>
    <cfRule type="cellIs" dxfId="78" priority="93" operator="equal">
      <formula>"Menor"</formula>
    </cfRule>
    <cfRule type="cellIs" dxfId="77" priority="94" operator="equal">
      <formula>"Leve"</formula>
    </cfRule>
  </conditionalFormatting>
  <conditionalFormatting sqref="AE47:AE52">
    <cfRule type="cellIs" dxfId="76" priority="86" operator="equal">
      <formula>"Extremo"</formula>
    </cfRule>
    <cfRule type="cellIs" dxfId="75" priority="87" operator="equal">
      <formula>"Alto"</formula>
    </cfRule>
    <cfRule type="cellIs" dxfId="74" priority="88" operator="equal">
      <formula>"Moderado"</formula>
    </cfRule>
    <cfRule type="cellIs" dxfId="73" priority="89" operator="equal">
      <formula>"Bajo"</formula>
    </cfRule>
  </conditionalFormatting>
  <conditionalFormatting sqref="J53">
    <cfRule type="cellIs" dxfId="72" priority="81" operator="equal">
      <formula>"Muy Alta"</formula>
    </cfRule>
    <cfRule type="cellIs" dxfId="71" priority="82" operator="equal">
      <formula>"Alta"</formula>
    </cfRule>
    <cfRule type="cellIs" dxfId="70" priority="83" operator="equal">
      <formula>"Media"</formula>
    </cfRule>
    <cfRule type="cellIs" dxfId="69" priority="84" operator="equal">
      <formula>"Baja"</formula>
    </cfRule>
    <cfRule type="cellIs" dxfId="68" priority="85" operator="equal">
      <formula>"Muy Baja"</formula>
    </cfRule>
  </conditionalFormatting>
  <conditionalFormatting sqref="P53">
    <cfRule type="cellIs" dxfId="67" priority="72" operator="equal">
      <formula>"Extremo"</formula>
    </cfRule>
    <cfRule type="cellIs" dxfId="66" priority="73" operator="equal">
      <formula>"Alto"</formula>
    </cfRule>
    <cfRule type="cellIs" dxfId="65" priority="74" operator="equal">
      <formula>"Moderado"</formula>
    </cfRule>
    <cfRule type="cellIs" dxfId="64" priority="75" operator="equal">
      <formula>"Bajo"</formula>
    </cfRule>
  </conditionalFormatting>
  <conditionalFormatting sqref="AA53:AA58">
    <cfRule type="cellIs" dxfId="63" priority="67" operator="equal">
      <formula>"Muy Alta"</formula>
    </cfRule>
    <cfRule type="cellIs" dxfId="62" priority="68" operator="equal">
      <formula>"Alta"</formula>
    </cfRule>
    <cfRule type="cellIs" dxfId="61" priority="69" operator="equal">
      <formula>"Media"</formula>
    </cfRule>
    <cfRule type="cellIs" dxfId="60" priority="70" operator="equal">
      <formula>"Baja"</formula>
    </cfRule>
    <cfRule type="cellIs" dxfId="59" priority="71" operator="equal">
      <formula>"Muy Baja"</formula>
    </cfRule>
  </conditionalFormatting>
  <conditionalFormatting sqref="AC53:AC58">
    <cfRule type="cellIs" dxfId="58" priority="62" operator="equal">
      <formula>"Catastrófico"</formula>
    </cfRule>
    <cfRule type="cellIs" dxfId="57" priority="63" operator="equal">
      <formula>"Mayor"</formula>
    </cfRule>
    <cfRule type="cellIs" dxfId="56" priority="64" operator="equal">
      <formula>"Moderado"</formula>
    </cfRule>
    <cfRule type="cellIs" dxfId="55" priority="65" operator="equal">
      <formula>"Menor"</formula>
    </cfRule>
    <cfRule type="cellIs" dxfId="54" priority="66" operator="equal">
      <formula>"Leve"</formula>
    </cfRule>
  </conditionalFormatting>
  <conditionalFormatting sqref="AE53:AE58">
    <cfRule type="cellIs" dxfId="53" priority="58" operator="equal">
      <formula>"Extremo"</formula>
    </cfRule>
    <cfRule type="cellIs" dxfId="52" priority="59" operator="equal">
      <formula>"Alto"</formula>
    </cfRule>
    <cfRule type="cellIs" dxfId="51" priority="60" operator="equal">
      <formula>"Moderado"</formula>
    </cfRule>
    <cfRule type="cellIs" dxfId="50" priority="61" operator="equal">
      <formula>"Bajo"</formula>
    </cfRule>
  </conditionalFormatting>
  <conditionalFormatting sqref="P59">
    <cfRule type="cellIs" dxfId="49" priority="44" operator="equal">
      <formula>"Extremo"</formula>
    </cfRule>
    <cfRule type="cellIs" dxfId="48" priority="45" operator="equal">
      <formula>"Alto"</formula>
    </cfRule>
    <cfRule type="cellIs" dxfId="47" priority="46" operator="equal">
      <formula>"Moderado"</formula>
    </cfRule>
    <cfRule type="cellIs" dxfId="46" priority="47" operator="equal">
      <formula>"Bajo"</formula>
    </cfRule>
  </conditionalFormatting>
  <conditionalFormatting sqref="AA59:AA64">
    <cfRule type="cellIs" dxfId="45" priority="39" operator="equal">
      <formula>"Muy Alta"</formula>
    </cfRule>
    <cfRule type="cellIs" dxfId="44" priority="40" operator="equal">
      <formula>"Alta"</formula>
    </cfRule>
    <cfRule type="cellIs" dxfId="43" priority="41" operator="equal">
      <formula>"Media"</formula>
    </cfRule>
    <cfRule type="cellIs" dxfId="42" priority="42" operator="equal">
      <formula>"Baja"</formula>
    </cfRule>
    <cfRule type="cellIs" dxfId="41" priority="43" operator="equal">
      <formula>"Muy Baja"</formula>
    </cfRule>
  </conditionalFormatting>
  <conditionalFormatting sqref="AC59:AC64">
    <cfRule type="cellIs" dxfId="40" priority="34" operator="equal">
      <formula>"Catastrófico"</formula>
    </cfRule>
    <cfRule type="cellIs" dxfId="39" priority="35" operator="equal">
      <formula>"Mayor"</formula>
    </cfRule>
    <cfRule type="cellIs" dxfId="38" priority="36" operator="equal">
      <formula>"Moderado"</formula>
    </cfRule>
    <cfRule type="cellIs" dxfId="37" priority="37" operator="equal">
      <formula>"Menor"</formula>
    </cfRule>
    <cfRule type="cellIs" dxfId="36" priority="38" operator="equal">
      <formula>"Leve"</formula>
    </cfRule>
  </conditionalFormatting>
  <conditionalFormatting sqref="AE59:AE64">
    <cfRule type="cellIs" dxfId="35" priority="30" operator="equal">
      <formula>"Extremo"</formula>
    </cfRule>
    <cfRule type="cellIs" dxfId="34" priority="31" operator="equal">
      <formula>"Alto"</formula>
    </cfRule>
    <cfRule type="cellIs" dxfId="33" priority="32" operator="equal">
      <formula>"Moderado"</formula>
    </cfRule>
    <cfRule type="cellIs" dxfId="32" priority="33" operator="equal">
      <formula>"Bajo"</formula>
    </cfRule>
  </conditionalFormatting>
  <conditionalFormatting sqref="J65">
    <cfRule type="cellIs" dxfId="31" priority="25" operator="equal">
      <formula>"Muy Alta"</formula>
    </cfRule>
    <cfRule type="cellIs" dxfId="30" priority="26" operator="equal">
      <formula>"Alta"</formula>
    </cfRule>
    <cfRule type="cellIs" dxfId="29" priority="27" operator="equal">
      <formula>"Media"</formula>
    </cfRule>
    <cfRule type="cellIs" dxfId="28" priority="28" operator="equal">
      <formula>"Baja"</formula>
    </cfRule>
    <cfRule type="cellIs" dxfId="27" priority="29" operator="equal">
      <formula>"Muy Baja"</formula>
    </cfRule>
  </conditionalFormatting>
  <conditionalFormatting sqref="P65">
    <cfRule type="cellIs" dxfId="26" priority="16" operator="equal">
      <formula>"Extremo"</formula>
    </cfRule>
    <cfRule type="cellIs" dxfId="25" priority="17" operator="equal">
      <formula>"Alto"</formula>
    </cfRule>
    <cfRule type="cellIs" dxfId="24" priority="18" operator="equal">
      <formula>"Moderado"</formula>
    </cfRule>
    <cfRule type="cellIs" dxfId="23" priority="19" operator="equal">
      <formula>"Bajo"</formula>
    </cfRule>
  </conditionalFormatting>
  <conditionalFormatting sqref="AA65:AA70">
    <cfRule type="cellIs" dxfId="22" priority="11" operator="equal">
      <formula>"Muy Alta"</formula>
    </cfRule>
    <cfRule type="cellIs" dxfId="21" priority="12" operator="equal">
      <formula>"Alta"</formula>
    </cfRule>
    <cfRule type="cellIs" dxfId="20" priority="13" operator="equal">
      <formula>"Media"</formula>
    </cfRule>
    <cfRule type="cellIs" dxfId="19" priority="14" operator="equal">
      <formula>"Baja"</formula>
    </cfRule>
    <cfRule type="cellIs" dxfId="18" priority="15" operator="equal">
      <formula>"Muy Baja"</formula>
    </cfRule>
  </conditionalFormatting>
  <conditionalFormatting sqref="AC65:AC70">
    <cfRule type="cellIs" dxfId="17" priority="6" operator="equal">
      <formula>"Catastrófico"</formula>
    </cfRule>
    <cfRule type="cellIs" dxfId="16" priority="7" operator="equal">
      <formula>"Mayor"</formula>
    </cfRule>
    <cfRule type="cellIs" dxfId="15" priority="8" operator="equal">
      <formula>"Moderado"</formula>
    </cfRule>
    <cfRule type="cellIs" dxfId="14" priority="9" operator="equal">
      <formula>"Menor"</formula>
    </cfRule>
    <cfRule type="cellIs" dxfId="13" priority="10" operator="equal">
      <formula>"Leve"</formula>
    </cfRule>
  </conditionalFormatting>
  <conditionalFormatting sqref="AE65:AE70">
    <cfRule type="cellIs" dxfId="12" priority="2" operator="equal">
      <formula>"Extremo"</formula>
    </cfRule>
    <cfRule type="cellIs" dxfId="11" priority="3" operator="equal">
      <formula>"Alto"</formula>
    </cfRule>
    <cfRule type="cellIs" dxfId="10" priority="4" operator="equal">
      <formula>"Moderado"</formula>
    </cfRule>
    <cfRule type="cellIs" dxfId="9" priority="5" operator="equal">
      <formula>"Bajo"</formula>
    </cfRule>
  </conditionalFormatting>
  <conditionalFormatting sqref="M11:M70">
    <cfRule type="containsText" dxfId="8" priority="1" operator="containsText" text="❌">
      <formula>NOT(ISERROR(SEARCH("❌",M11)))</formula>
    </cfRule>
  </conditionalFormatting>
  <pageMargins left="0.7" right="0.7" top="0.75" bottom="0.75" header="0.3" footer="0.3"/>
  <pageSetup orientation="portrait" r:id="rId1"/>
  <ignoredErrors>
    <ignoredError sqref="AD13" formula="1"/>
  </ignoredErrors>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T11:T70</xm:sqref>
        </x14:dataValidation>
        <x14:dataValidation type="list" allowBlank="1" showInputMessage="1" showErrorMessage="1">
          <x14:formula1>
            <xm:f>'Tabla Valoración controles'!$D$7:$D$8</xm:f>
          </x14:formula1>
          <xm:sqref>U11:U70</xm:sqref>
        </x14:dataValidation>
        <x14:dataValidation type="list" allowBlank="1" showInputMessage="1" showErrorMessage="1">
          <x14:formula1>
            <xm:f>'Tabla Valoración controles'!$D$9:$D$10</xm:f>
          </x14:formula1>
          <xm:sqref>W11:W70</xm:sqref>
        </x14:dataValidation>
        <x14:dataValidation type="list" allowBlank="1" showInputMessage="1" showErrorMessage="1">
          <x14:formula1>
            <xm:f>'Tabla Valoración controles'!$D$11:$D$12</xm:f>
          </x14:formula1>
          <xm:sqref>X11:X70</xm:sqref>
        </x14:dataValidation>
        <x14:dataValidation type="list" allowBlank="1" showInputMessage="1" showErrorMessage="1">
          <x14:formula1>
            <xm:f>'Tabla Valoración controles'!$D$13:$D$14</xm:f>
          </x14:formula1>
          <xm:sqref>Y11:Y70</xm:sqref>
        </x14:dataValidation>
        <x14:dataValidation type="list" allowBlank="1" showInputMessage="1" showErrorMessage="1">
          <x14:formula1>
            <xm:f>'Opciones Tratamiento'!$E$2:$E$4</xm:f>
          </x14:formula1>
          <xm:sqref>C11:C70</xm:sqref>
        </x14:dataValidation>
        <x14:dataValidation type="list" allowBlank="1" showInputMessage="1" showErrorMessage="1">
          <x14:formula1>
            <xm:f>'Opciones Tratamiento'!$B$2:$B$5</xm:f>
          </x14:formula1>
          <xm:sqref>AF11:AF70</xm:sqref>
        </x14:dataValidation>
        <x14:dataValidation type="list" allowBlank="1" showInputMessage="1" showErrorMessage="1">
          <x14:formula1>
            <xm:f>'Tabla Impacto'!$F$210:$F$221</xm:f>
          </x14:formula1>
          <xm:sqref>L11:L70</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AG11:AG70</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AH11:AH70</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AI11:AI70</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AJ11:AJ70</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AK11:AK70</xm:sqref>
        </x14:dataValidation>
        <x14:dataValidation type="list" allowBlank="1" showInputMessage="1" showErrorMessage="1">
          <x14:formula1>
            <xm:f>Procesos!$D$16:$D$22</xm:f>
          </x14:formula1>
          <xm:sqref>B11:C11 B17:C17 B23:C23 B29:C29 B35:C35 B41:C41 B47:C47 B53:C53 B59:C59 B65:C65</xm:sqref>
        </x14:dataValidation>
        <x14:dataValidation type="list" allowBlank="1" showInputMessage="1" showErrorMessage="1">
          <x14:formula1>
            <xm:f>'Opciones Tratamiento'!$B$9:$B$11</xm:f>
          </x14:formula1>
          <xm:sqref>AL11:AL70</xm:sqref>
        </x14:dataValidation>
        <x14:dataValidation type="list" allowBlank="1" showInputMessage="1" showErrorMessage="1">
          <x14:formula1>
            <xm:f>'Opciones Tratamiento'!$B$13:$B$19</xm:f>
          </x14:formula1>
          <xm:sqref>H17:H70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J12" sqref="J12:K13"/>
    </sheetView>
  </sheetViews>
  <sheetFormatPr baseColWidth="10" defaultRowHeight="14.4" x14ac:dyDescent="0.3"/>
  <cols>
    <col min="2" max="39" width="5.6640625" customWidth="1"/>
    <col min="41" max="46" width="5.6640625" customWidth="1"/>
  </cols>
  <sheetData>
    <row r="1" spans="1:99" x14ac:dyDescent="0.3">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3">
      <c r="A2" s="84"/>
      <c r="B2" s="263" t="s">
        <v>144</v>
      </c>
      <c r="C2" s="263"/>
      <c r="D2" s="263"/>
      <c r="E2" s="263"/>
      <c r="F2" s="263"/>
      <c r="G2" s="263"/>
      <c r="H2" s="263"/>
      <c r="I2" s="263"/>
      <c r="J2" s="301" t="s">
        <v>2</v>
      </c>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3">
      <c r="A3" s="84"/>
      <c r="B3" s="263"/>
      <c r="C3" s="263"/>
      <c r="D3" s="263"/>
      <c r="E3" s="263"/>
      <c r="F3" s="263"/>
      <c r="G3" s="263"/>
      <c r="H3" s="263"/>
      <c r="I3" s="263"/>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3">
      <c r="A4" s="84"/>
      <c r="B4" s="263"/>
      <c r="C4" s="263"/>
      <c r="D4" s="263"/>
      <c r="E4" s="263"/>
      <c r="F4" s="263"/>
      <c r="G4" s="263"/>
      <c r="H4" s="263"/>
      <c r="I4" s="263"/>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 thickBot="1" x14ac:dyDescent="0.3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3">
      <c r="A6" s="84"/>
      <c r="B6" s="313" t="s">
        <v>3</v>
      </c>
      <c r="C6" s="313"/>
      <c r="D6" s="314"/>
      <c r="E6" s="302" t="s">
        <v>108</v>
      </c>
      <c r="F6" s="303"/>
      <c r="G6" s="303"/>
      <c r="H6" s="303"/>
      <c r="I6" s="304"/>
      <c r="J6" s="298" t="str">
        <f>IF(AND('Mapa final'!$J$11="Muy Alta",'Mapa final'!$N$11="Leve"),CONCATENATE("R",'Mapa final'!$A$11),"")</f>
        <v/>
      </c>
      <c r="K6" s="299"/>
      <c r="L6" s="299" t="str">
        <f>IF(AND('Mapa final'!$J$17="Muy Alta",'Mapa final'!$N$17="Leve"),CONCATENATE("R",'Mapa final'!$A$17),"")</f>
        <v/>
      </c>
      <c r="M6" s="299"/>
      <c r="N6" s="299" t="str">
        <f>IF(AND('Mapa final'!$J$23="Muy Alta",'Mapa final'!$N$23="Leve"),CONCATENATE("R",'Mapa final'!$A$23),"")</f>
        <v/>
      </c>
      <c r="O6" s="300"/>
      <c r="P6" s="298" t="str">
        <f>IF(AND('Mapa final'!$J$11="Muy Alta",'Mapa final'!$N$11="Menor"),CONCATENATE("R",'Mapa final'!$A$11),"")</f>
        <v/>
      </c>
      <c r="Q6" s="299"/>
      <c r="R6" s="299" t="str">
        <f>IF(AND('Mapa final'!$J$17="Muy Alta",'Mapa final'!$N$17="Menor"),CONCATENATE("R",'Mapa final'!$A$17),"")</f>
        <v/>
      </c>
      <c r="S6" s="299"/>
      <c r="T6" s="299" t="str">
        <f>IF(AND('Mapa final'!$J$23="Muy Alta",'Mapa final'!$N$23="Menor"),CONCATENATE("R",'Mapa final'!$A$23),"")</f>
        <v/>
      </c>
      <c r="U6" s="300"/>
      <c r="V6" s="298" t="str">
        <f>IF(AND('Mapa final'!$J$11="Muy Alta",'Mapa final'!$N$11="Moderado"),CONCATENATE("R",'Mapa final'!$A$11),"")</f>
        <v/>
      </c>
      <c r="W6" s="299"/>
      <c r="X6" s="299" t="str">
        <f>IF(AND('Mapa final'!$J$17="Muy Alta",'Mapa final'!$N$17="Moderado"),CONCATENATE("R",'Mapa final'!$A$17),"")</f>
        <v/>
      </c>
      <c r="Y6" s="299"/>
      <c r="Z6" s="299" t="str">
        <f>IF(AND('Mapa final'!$J$23="Muy Alta",'Mapa final'!$N$23="Moderado"),CONCATENATE("R",'Mapa final'!$A$23),"")</f>
        <v/>
      </c>
      <c r="AA6" s="300"/>
      <c r="AB6" s="298" t="str">
        <f>IF(AND('Mapa final'!$J$11="Muy Alta",'Mapa final'!$N$11="Mayor"),CONCATENATE("R",'Mapa final'!$A$11),"")</f>
        <v/>
      </c>
      <c r="AC6" s="299"/>
      <c r="AD6" s="299" t="str">
        <f>IF(AND('Mapa final'!$J$17="Muy Alta",'Mapa final'!$N$17="Mayor"),CONCATENATE("R",'Mapa final'!$A$17),"")</f>
        <v/>
      </c>
      <c r="AE6" s="299"/>
      <c r="AF6" s="299" t="str">
        <f>IF(AND('Mapa final'!$J$23="Muy Alta",'Mapa final'!$N$23="Mayor"),CONCATENATE("R",'Mapa final'!$A$23),"")</f>
        <v/>
      </c>
      <c r="AG6" s="300"/>
      <c r="AH6" s="288" t="str">
        <f>IF(AND('Mapa final'!$J$11="Muy Alta",'Mapa final'!$N$11="Catastrófico"),CONCATENATE("R",'Mapa final'!$A$11),"")</f>
        <v/>
      </c>
      <c r="AI6" s="289"/>
      <c r="AJ6" s="289" t="str">
        <f>IF(AND('Mapa final'!$J$17="Muy Alta",'Mapa final'!$N$17="Catastrófico"),CONCATENATE("R",'Mapa final'!$A$17),"")</f>
        <v/>
      </c>
      <c r="AK6" s="289"/>
      <c r="AL6" s="289" t="str">
        <f>IF(AND('Mapa final'!$J$23="Muy Alta",'Mapa final'!$N$23="Catastrófico"),CONCATENATE("R",'Mapa final'!$A$23),"")</f>
        <v/>
      </c>
      <c r="AM6" s="290"/>
      <c r="AO6" s="315" t="s">
        <v>76</v>
      </c>
      <c r="AP6" s="316"/>
      <c r="AQ6" s="316"/>
      <c r="AR6" s="316"/>
      <c r="AS6" s="316"/>
      <c r="AT6" s="317"/>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3">
      <c r="A7" s="84"/>
      <c r="B7" s="313"/>
      <c r="C7" s="313"/>
      <c r="D7" s="314"/>
      <c r="E7" s="305"/>
      <c r="F7" s="306"/>
      <c r="G7" s="306"/>
      <c r="H7" s="306"/>
      <c r="I7" s="307"/>
      <c r="J7" s="291"/>
      <c r="K7" s="292"/>
      <c r="L7" s="292"/>
      <c r="M7" s="292"/>
      <c r="N7" s="292"/>
      <c r="O7" s="294"/>
      <c r="P7" s="291"/>
      <c r="Q7" s="292"/>
      <c r="R7" s="292"/>
      <c r="S7" s="292"/>
      <c r="T7" s="292"/>
      <c r="U7" s="294"/>
      <c r="V7" s="291"/>
      <c r="W7" s="292"/>
      <c r="X7" s="292"/>
      <c r="Y7" s="292"/>
      <c r="Z7" s="292"/>
      <c r="AA7" s="294"/>
      <c r="AB7" s="291"/>
      <c r="AC7" s="292"/>
      <c r="AD7" s="292"/>
      <c r="AE7" s="292"/>
      <c r="AF7" s="292"/>
      <c r="AG7" s="294"/>
      <c r="AH7" s="282"/>
      <c r="AI7" s="283"/>
      <c r="AJ7" s="283"/>
      <c r="AK7" s="283"/>
      <c r="AL7" s="283"/>
      <c r="AM7" s="284"/>
      <c r="AN7" s="84"/>
      <c r="AO7" s="318"/>
      <c r="AP7" s="319"/>
      <c r="AQ7" s="319"/>
      <c r="AR7" s="319"/>
      <c r="AS7" s="319"/>
      <c r="AT7" s="320"/>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3">
      <c r="A8" s="84"/>
      <c r="B8" s="313"/>
      <c r="C8" s="313"/>
      <c r="D8" s="314"/>
      <c r="E8" s="305"/>
      <c r="F8" s="306"/>
      <c r="G8" s="306"/>
      <c r="H8" s="306"/>
      <c r="I8" s="307"/>
      <c r="J8" s="291" t="str">
        <f>IF(AND('Mapa final'!$J$29="Muy Alta",'Mapa final'!$N$29="Leve"),CONCATENATE("R",'Mapa final'!$A$29),"")</f>
        <v/>
      </c>
      <c r="K8" s="292"/>
      <c r="L8" s="293" t="str">
        <f>IF(AND('Mapa final'!$J$35="Muy Alta",'Mapa final'!$N$35="Leve"),CONCATENATE("R",'Mapa final'!$A$35),"")</f>
        <v/>
      </c>
      <c r="M8" s="293"/>
      <c r="N8" s="293" t="str">
        <f>IF(AND('Mapa final'!$J$41="Muy Alta",'Mapa final'!$N$41="Leve"),CONCATENATE("R",'Mapa final'!$A$41),"")</f>
        <v/>
      </c>
      <c r="O8" s="294"/>
      <c r="P8" s="291" t="str">
        <f>IF(AND('Mapa final'!$J$29="Muy Alta",'Mapa final'!$N$29="Menor"),CONCATENATE("R",'Mapa final'!$A$29),"")</f>
        <v/>
      </c>
      <c r="Q8" s="292"/>
      <c r="R8" s="293" t="str">
        <f>IF(AND('Mapa final'!$J$35="Muy Alta",'Mapa final'!$N$35="Menor"),CONCATENATE("R",'Mapa final'!$A$35),"")</f>
        <v/>
      </c>
      <c r="S8" s="293"/>
      <c r="T8" s="293" t="str">
        <f>IF(AND('Mapa final'!$J$41="Muy Alta",'Mapa final'!$N$41="Menor"),CONCATENATE("R",'Mapa final'!$A$41),"")</f>
        <v/>
      </c>
      <c r="U8" s="294"/>
      <c r="V8" s="291" t="str">
        <f>IF(AND('Mapa final'!$J$29="Muy Alta",'Mapa final'!$N$29="Moderado"),CONCATENATE("R",'Mapa final'!$A$29),"")</f>
        <v/>
      </c>
      <c r="W8" s="292"/>
      <c r="X8" s="293" t="str">
        <f>IF(AND('Mapa final'!$J$35="Muy Alta",'Mapa final'!$N$35="Moderado"),CONCATENATE("R",'Mapa final'!$A$35),"")</f>
        <v/>
      </c>
      <c r="Y8" s="293"/>
      <c r="Z8" s="293" t="str">
        <f>IF(AND('Mapa final'!$J$41="Muy Alta",'Mapa final'!$N$41="Moderado"),CONCATENATE("R",'Mapa final'!$A$41),"")</f>
        <v/>
      </c>
      <c r="AA8" s="294"/>
      <c r="AB8" s="291" t="str">
        <f>IF(AND('Mapa final'!$J$29="Muy Alta",'Mapa final'!$N$29="Mayor"),CONCATENATE("R",'Mapa final'!$A$29),"")</f>
        <v/>
      </c>
      <c r="AC8" s="292"/>
      <c r="AD8" s="293" t="str">
        <f>IF(AND('Mapa final'!$J$35="Muy Alta",'Mapa final'!$N$35="Mayor"),CONCATENATE("R",'Mapa final'!$A$35),"")</f>
        <v/>
      </c>
      <c r="AE8" s="293"/>
      <c r="AF8" s="293" t="str">
        <f>IF(AND('Mapa final'!$J$41="Muy Alta",'Mapa final'!$N$41="Mayor"),CONCATENATE("R",'Mapa final'!$A$41),"")</f>
        <v/>
      </c>
      <c r="AG8" s="294"/>
      <c r="AH8" s="282" t="str">
        <f>IF(AND('Mapa final'!$J$29="Muy Alta",'Mapa final'!$N$29="Catastrófico"),CONCATENATE("R",'Mapa final'!$A$29),"")</f>
        <v/>
      </c>
      <c r="AI8" s="283"/>
      <c r="AJ8" s="283" t="str">
        <f>IF(AND('Mapa final'!$J$35="Muy Alta",'Mapa final'!$N$35="Catastrófico"),CONCATENATE("R",'Mapa final'!$A$35),"")</f>
        <v/>
      </c>
      <c r="AK8" s="283"/>
      <c r="AL8" s="283" t="str">
        <f>IF(AND('Mapa final'!$J$41="Muy Alta",'Mapa final'!$N$41="Catastrófico"),CONCATENATE("R",'Mapa final'!$A$41),"")</f>
        <v/>
      </c>
      <c r="AM8" s="284"/>
      <c r="AN8" s="84"/>
      <c r="AO8" s="318"/>
      <c r="AP8" s="319"/>
      <c r="AQ8" s="319"/>
      <c r="AR8" s="319"/>
      <c r="AS8" s="319"/>
      <c r="AT8" s="320"/>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3">
      <c r="A9" s="84"/>
      <c r="B9" s="313"/>
      <c r="C9" s="313"/>
      <c r="D9" s="314"/>
      <c r="E9" s="305"/>
      <c r="F9" s="306"/>
      <c r="G9" s="306"/>
      <c r="H9" s="306"/>
      <c r="I9" s="307"/>
      <c r="J9" s="291"/>
      <c r="K9" s="292"/>
      <c r="L9" s="293"/>
      <c r="M9" s="293"/>
      <c r="N9" s="293"/>
      <c r="O9" s="294"/>
      <c r="P9" s="291"/>
      <c r="Q9" s="292"/>
      <c r="R9" s="293"/>
      <c r="S9" s="293"/>
      <c r="T9" s="293"/>
      <c r="U9" s="294"/>
      <c r="V9" s="291"/>
      <c r="W9" s="292"/>
      <c r="X9" s="293"/>
      <c r="Y9" s="293"/>
      <c r="Z9" s="293"/>
      <c r="AA9" s="294"/>
      <c r="AB9" s="291"/>
      <c r="AC9" s="292"/>
      <c r="AD9" s="293"/>
      <c r="AE9" s="293"/>
      <c r="AF9" s="293"/>
      <c r="AG9" s="294"/>
      <c r="AH9" s="282"/>
      <c r="AI9" s="283"/>
      <c r="AJ9" s="283"/>
      <c r="AK9" s="283"/>
      <c r="AL9" s="283"/>
      <c r="AM9" s="284"/>
      <c r="AN9" s="84"/>
      <c r="AO9" s="318"/>
      <c r="AP9" s="319"/>
      <c r="AQ9" s="319"/>
      <c r="AR9" s="319"/>
      <c r="AS9" s="319"/>
      <c r="AT9" s="320"/>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3">
      <c r="A10" s="84"/>
      <c r="B10" s="313"/>
      <c r="C10" s="313"/>
      <c r="D10" s="314"/>
      <c r="E10" s="305"/>
      <c r="F10" s="306"/>
      <c r="G10" s="306"/>
      <c r="H10" s="306"/>
      <c r="I10" s="307"/>
      <c r="J10" s="291" t="str">
        <f>IF(AND('Mapa final'!$J$47="Muy Alta",'Mapa final'!$N$47="Leve"),CONCATENATE("R",'Mapa final'!$A$47),"")</f>
        <v/>
      </c>
      <c r="K10" s="292"/>
      <c r="L10" s="293" t="str">
        <f>IF(AND('Mapa final'!$J$53="Muy Alta",'Mapa final'!$N$53="Leve"),CONCATENATE("R",'Mapa final'!$A$53),"")</f>
        <v/>
      </c>
      <c r="M10" s="293"/>
      <c r="N10" s="293" t="str">
        <f>IF(AND('Mapa final'!$J$59="Muy Alta",'Mapa final'!$N$59="Leve"),CONCATENATE("R",'Mapa final'!$A$59),"")</f>
        <v/>
      </c>
      <c r="O10" s="294"/>
      <c r="P10" s="291" t="str">
        <f>IF(AND('Mapa final'!$J$47="Muy Alta",'Mapa final'!$N$47="Menor"),CONCATENATE("R",'Mapa final'!$A$47),"")</f>
        <v/>
      </c>
      <c r="Q10" s="292"/>
      <c r="R10" s="293" t="str">
        <f>IF(AND('Mapa final'!$J$53="Muy Alta",'Mapa final'!$N$53="Menor"),CONCATENATE("R",'Mapa final'!$A$53),"")</f>
        <v/>
      </c>
      <c r="S10" s="293"/>
      <c r="T10" s="293" t="str">
        <f>IF(AND('Mapa final'!$J$59="Muy Alta",'Mapa final'!$N$59="Menor"),CONCATENATE("R",'Mapa final'!$A$59),"")</f>
        <v/>
      </c>
      <c r="U10" s="294"/>
      <c r="V10" s="291" t="str">
        <f>IF(AND('Mapa final'!$J$47="Muy Alta",'Mapa final'!$N$47="Moderado"),CONCATENATE("R",'Mapa final'!$A$47),"")</f>
        <v/>
      </c>
      <c r="W10" s="292"/>
      <c r="X10" s="293" t="str">
        <f>IF(AND('Mapa final'!$J$53="Muy Alta",'Mapa final'!$N$53="Moderado"),CONCATENATE("R",'Mapa final'!$A$53),"")</f>
        <v/>
      </c>
      <c r="Y10" s="293"/>
      <c r="Z10" s="293" t="str">
        <f>IF(AND('Mapa final'!$J$59="Muy Alta",'Mapa final'!$N$59="Moderado"),CONCATENATE("R",'Mapa final'!$A$59),"")</f>
        <v/>
      </c>
      <c r="AA10" s="294"/>
      <c r="AB10" s="291" t="str">
        <f>IF(AND('Mapa final'!$J$47="Muy Alta",'Mapa final'!$N$47="Mayor"),CONCATENATE("R",'Mapa final'!$A$47),"")</f>
        <v/>
      </c>
      <c r="AC10" s="292"/>
      <c r="AD10" s="293" t="str">
        <f>IF(AND('Mapa final'!$J$53="Muy Alta",'Mapa final'!$N$53="Mayor"),CONCATENATE("R",'Mapa final'!$A$53),"")</f>
        <v/>
      </c>
      <c r="AE10" s="293"/>
      <c r="AF10" s="293" t="str">
        <f>IF(AND('Mapa final'!$J$59="Muy Alta",'Mapa final'!$N$59="Mayor"),CONCATENATE("R",'Mapa final'!$A$59),"")</f>
        <v/>
      </c>
      <c r="AG10" s="294"/>
      <c r="AH10" s="282" t="str">
        <f>IF(AND('Mapa final'!$J$47="Muy Alta",'Mapa final'!$N$47="Catastrófico"),CONCATENATE("R",'Mapa final'!$A$47),"")</f>
        <v/>
      </c>
      <c r="AI10" s="283"/>
      <c r="AJ10" s="283" t="str">
        <f>IF(AND('Mapa final'!$J$53="Muy Alta",'Mapa final'!$N$53="Catastrófico"),CONCATENATE("R",'Mapa final'!$A$53),"")</f>
        <v/>
      </c>
      <c r="AK10" s="283"/>
      <c r="AL10" s="283" t="str">
        <f>IF(AND('Mapa final'!$J$59="Muy Alta",'Mapa final'!$N$59="Catastrófico"),CONCATENATE("R",'Mapa final'!$A$59),"")</f>
        <v/>
      </c>
      <c r="AM10" s="284"/>
      <c r="AN10" s="84"/>
      <c r="AO10" s="318"/>
      <c r="AP10" s="319"/>
      <c r="AQ10" s="319"/>
      <c r="AR10" s="319"/>
      <c r="AS10" s="319"/>
      <c r="AT10" s="320"/>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3">
      <c r="A11" s="84"/>
      <c r="B11" s="313"/>
      <c r="C11" s="313"/>
      <c r="D11" s="314"/>
      <c r="E11" s="305"/>
      <c r="F11" s="306"/>
      <c r="G11" s="306"/>
      <c r="H11" s="306"/>
      <c r="I11" s="307"/>
      <c r="J11" s="291"/>
      <c r="K11" s="292"/>
      <c r="L11" s="293"/>
      <c r="M11" s="293"/>
      <c r="N11" s="293"/>
      <c r="O11" s="294"/>
      <c r="P11" s="291"/>
      <c r="Q11" s="292"/>
      <c r="R11" s="293"/>
      <c r="S11" s="293"/>
      <c r="T11" s="293"/>
      <c r="U11" s="294"/>
      <c r="V11" s="291"/>
      <c r="W11" s="292"/>
      <c r="X11" s="293"/>
      <c r="Y11" s="293"/>
      <c r="Z11" s="293"/>
      <c r="AA11" s="294"/>
      <c r="AB11" s="291"/>
      <c r="AC11" s="292"/>
      <c r="AD11" s="293"/>
      <c r="AE11" s="293"/>
      <c r="AF11" s="293"/>
      <c r="AG11" s="294"/>
      <c r="AH11" s="282"/>
      <c r="AI11" s="283"/>
      <c r="AJ11" s="283"/>
      <c r="AK11" s="283"/>
      <c r="AL11" s="283"/>
      <c r="AM11" s="284"/>
      <c r="AN11" s="84"/>
      <c r="AO11" s="318"/>
      <c r="AP11" s="319"/>
      <c r="AQ11" s="319"/>
      <c r="AR11" s="319"/>
      <c r="AS11" s="319"/>
      <c r="AT11" s="320"/>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3">
      <c r="A12" s="84"/>
      <c r="B12" s="313"/>
      <c r="C12" s="313"/>
      <c r="D12" s="314"/>
      <c r="E12" s="305"/>
      <c r="F12" s="306"/>
      <c r="G12" s="306"/>
      <c r="H12" s="306"/>
      <c r="I12" s="307"/>
      <c r="J12" s="291" t="str">
        <f>IF(AND('Mapa final'!$J$65="Muy Alta",'Mapa final'!$N$65="Leve"),CONCATENATE("R",'Mapa final'!$A$65),"")</f>
        <v/>
      </c>
      <c r="K12" s="292"/>
      <c r="L12" s="293" t="str">
        <f>IF(AND('Mapa final'!$J$71="Muy Alta",'Mapa final'!$N$71="Leve"),CONCATENATE("R",'Mapa final'!$A$71),"")</f>
        <v/>
      </c>
      <c r="M12" s="293"/>
      <c r="N12" s="293" t="str">
        <f>IF(AND('Mapa final'!$J$77="Muy Alta",'Mapa final'!$N$77="Leve"),CONCATENATE("R",'Mapa final'!$A$77),"")</f>
        <v/>
      </c>
      <c r="O12" s="294"/>
      <c r="P12" s="291" t="str">
        <f>IF(AND('Mapa final'!$J$65="Muy Alta",'Mapa final'!$N$65="Menor"),CONCATENATE("R",'Mapa final'!$A$65),"")</f>
        <v/>
      </c>
      <c r="Q12" s="292"/>
      <c r="R12" s="293" t="str">
        <f>IF(AND('Mapa final'!$J$71="Muy Alta",'Mapa final'!$N$71="Menor"),CONCATENATE("R",'Mapa final'!$A$71),"")</f>
        <v/>
      </c>
      <c r="S12" s="293"/>
      <c r="T12" s="293" t="str">
        <f>IF(AND('Mapa final'!$J$77="Muy Alta",'Mapa final'!$N$77="Menor"),CONCATENATE("R",'Mapa final'!$A$77),"")</f>
        <v/>
      </c>
      <c r="U12" s="294"/>
      <c r="V12" s="291" t="str">
        <f>IF(AND('Mapa final'!$J$65="Muy Alta",'Mapa final'!$N$65="Moderado"),CONCATENATE("R",'Mapa final'!$A$65),"")</f>
        <v/>
      </c>
      <c r="W12" s="292"/>
      <c r="X12" s="293" t="str">
        <f>IF(AND('Mapa final'!$J$71="Muy Alta",'Mapa final'!$N$71="Moderado"),CONCATENATE("R",'Mapa final'!$A$71),"")</f>
        <v/>
      </c>
      <c r="Y12" s="293"/>
      <c r="Z12" s="293" t="str">
        <f>IF(AND('Mapa final'!$J$77="Muy Alta",'Mapa final'!$N$77="Moderado"),CONCATENATE("R",'Mapa final'!$A$77),"")</f>
        <v/>
      </c>
      <c r="AA12" s="294"/>
      <c r="AB12" s="291" t="str">
        <f>IF(AND('Mapa final'!$J$65="Muy Alta",'Mapa final'!$N$65="Mayor"),CONCATENATE("R",'Mapa final'!$A$65),"")</f>
        <v/>
      </c>
      <c r="AC12" s="292"/>
      <c r="AD12" s="293" t="str">
        <f>IF(AND('Mapa final'!$J$71="Muy Alta",'Mapa final'!$N$71="Mayor"),CONCATENATE("R",'Mapa final'!$A$71),"")</f>
        <v/>
      </c>
      <c r="AE12" s="293"/>
      <c r="AF12" s="293" t="str">
        <f>IF(AND('Mapa final'!$J$77="Muy Alta",'Mapa final'!$N$77="Mayor"),CONCATENATE("R",'Mapa final'!$A$77),"")</f>
        <v/>
      </c>
      <c r="AG12" s="294"/>
      <c r="AH12" s="282" t="str">
        <f>IF(AND('Mapa final'!$J$65="Muy Alta",'Mapa final'!$N$65="Catastrófico"),CONCATENATE("R",'Mapa final'!$A$65),"")</f>
        <v/>
      </c>
      <c r="AI12" s="283"/>
      <c r="AJ12" s="283" t="str">
        <f>IF(AND('Mapa final'!$J$71="Muy Alta",'Mapa final'!$N$71="Catastrófico"),CONCATENATE("R",'Mapa final'!$A$71),"")</f>
        <v/>
      </c>
      <c r="AK12" s="283"/>
      <c r="AL12" s="283" t="str">
        <f>IF(AND('Mapa final'!$J$77="Muy Alta",'Mapa final'!$N$77="Catastrófico"),CONCATENATE("R",'Mapa final'!$A$77),"")</f>
        <v/>
      </c>
      <c r="AM12" s="284"/>
      <c r="AN12" s="84"/>
      <c r="AO12" s="318"/>
      <c r="AP12" s="319"/>
      <c r="AQ12" s="319"/>
      <c r="AR12" s="319"/>
      <c r="AS12" s="319"/>
      <c r="AT12" s="320"/>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5">
      <c r="A13" s="84"/>
      <c r="B13" s="313"/>
      <c r="C13" s="313"/>
      <c r="D13" s="314"/>
      <c r="E13" s="308"/>
      <c r="F13" s="309"/>
      <c r="G13" s="309"/>
      <c r="H13" s="309"/>
      <c r="I13" s="310"/>
      <c r="J13" s="291"/>
      <c r="K13" s="292"/>
      <c r="L13" s="292"/>
      <c r="M13" s="292"/>
      <c r="N13" s="292"/>
      <c r="O13" s="294"/>
      <c r="P13" s="291"/>
      <c r="Q13" s="292"/>
      <c r="R13" s="292"/>
      <c r="S13" s="292"/>
      <c r="T13" s="292"/>
      <c r="U13" s="294"/>
      <c r="V13" s="291"/>
      <c r="W13" s="292"/>
      <c r="X13" s="292"/>
      <c r="Y13" s="292"/>
      <c r="Z13" s="292"/>
      <c r="AA13" s="294"/>
      <c r="AB13" s="291"/>
      <c r="AC13" s="292"/>
      <c r="AD13" s="292"/>
      <c r="AE13" s="292"/>
      <c r="AF13" s="292"/>
      <c r="AG13" s="294"/>
      <c r="AH13" s="285"/>
      <c r="AI13" s="286"/>
      <c r="AJ13" s="286"/>
      <c r="AK13" s="286"/>
      <c r="AL13" s="286"/>
      <c r="AM13" s="287"/>
      <c r="AN13" s="84"/>
      <c r="AO13" s="321"/>
      <c r="AP13" s="322"/>
      <c r="AQ13" s="322"/>
      <c r="AR13" s="322"/>
      <c r="AS13" s="322"/>
      <c r="AT13" s="323"/>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3">
      <c r="A14" s="84"/>
      <c r="B14" s="313"/>
      <c r="C14" s="313"/>
      <c r="D14" s="314"/>
      <c r="E14" s="302" t="s">
        <v>107</v>
      </c>
      <c r="F14" s="303"/>
      <c r="G14" s="303"/>
      <c r="H14" s="303"/>
      <c r="I14" s="303"/>
      <c r="J14" s="279" t="str">
        <f>IF(AND('Mapa final'!$J$11="Alta",'Mapa final'!$N$11="Leve"),CONCATENATE("R",'Mapa final'!$A$11),"")</f>
        <v/>
      </c>
      <c r="K14" s="280"/>
      <c r="L14" s="280" t="str">
        <f>IF(AND('Mapa final'!$J$17="Alta",'Mapa final'!$N$17="Leve"),CONCATENATE("R",'Mapa final'!$A$17),"")</f>
        <v/>
      </c>
      <c r="M14" s="280"/>
      <c r="N14" s="280" t="str">
        <f>IF(AND('Mapa final'!$J$23="Alta",'Mapa final'!$N$23="Leve"),CONCATENATE("R",'Mapa final'!$A$23),"")</f>
        <v/>
      </c>
      <c r="O14" s="281"/>
      <c r="P14" s="279" t="str">
        <f>IF(AND('Mapa final'!$J$11="Alta",'Mapa final'!$N$11="Menor"),CONCATENATE("R",'Mapa final'!$A$11),"")</f>
        <v/>
      </c>
      <c r="Q14" s="280"/>
      <c r="R14" s="280" t="str">
        <f>IF(AND('Mapa final'!$J$17="Alta",'Mapa final'!$N$17="Menor"),CONCATENATE("R",'Mapa final'!$A$17),"")</f>
        <v/>
      </c>
      <c r="S14" s="280"/>
      <c r="T14" s="280" t="str">
        <f>IF(AND('Mapa final'!$J$23="Alta",'Mapa final'!$N$23="Menor"),CONCATENATE("R",'Mapa final'!$A$23),"")</f>
        <v/>
      </c>
      <c r="U14" s="281"/>
      <c r="V14" s="298" t="str">
        <f>IF(AND('Mapa final'!$J$11="Alta",'Mapa final'!$N$11="Moderado"),CONCATENATE("R",'Mapa final'!$A$11),"")</f>
        <v/>
      </c>
      <c r="W14" s="299"/>
      <c r="X14" s="299" t="str">
        <f>IF(AND('Mapa final'!$J$17="Alta",'Mapa final'!$N$17="Moderado"),CONCATENATE("R",'Mapa final'!$A$17),"")</f>
        <v/>
      </c>
      <c r="Y14" s="299"/>
      <c r="Z14" s="299" t="str">
        <f>IF(AND('Mapa final'!$J$23="Alta",'Mapa final'!$N$23="Moderado"),CONCATENATE("R",'Mapa final'!$A$23),"")</f>
        <v/>
      </c>
      <c r="AA14" s="300"/>
      <c r="AB14" s="298" t="str">
        <f>IF(AND('Mapa final'!$J$11="Alta",'Mapa final'!$N$11="Mayor"),CONCATENATE("R",'Mapa final'!$A$11),"")</f>
        <v/>
      </c>
      <c r="AC14" s="299"/>
      <c r="AD14" s="299" t="str">
        <f>IF(AND('Mapa final'!$J$17="Alta",'Mapa final'!$N$17="Mayor"),CONCATENATE("R",'Mapa final'!$A$17),"")</f>
        <v/>
      </c>
      <c r="AE14" s="299"/>
      <c r="AF14" s="299" t="str">
        <f>IF(AND('Mapa final'!$J$23="Alta",'Mapa final'!$N$23="Mayor"),CONCATENATE("R",'Mapa final'!$A$23),"")</f>
        <v/>
      </c>
      <c r="AG14" s="300"/>
      <c r="AH14" s="288" t="str">
        <f>IF(AND('Mapa final'!$J$11="Alta",'Mapa final'!$N$11="Catastrófico"),CONCATENATE("R",'Mapa final'!$A$11),"")</f>
        <v/>
      </c>
      <c r="AI14" s="289"/>
      <c r="AJ14" s="289" t="str">
        <f>IF(AND('Mapa final'!$J$17="Alta",'Mapa final'!$N$17="Catastrófico"),CONCATENATE("R",'Mapa final'!$A$17),"")</f>
        <v/>
      </c>
      <c r="AK14" s="289"/>
      <c r="AL14" s="289" t="str">
        <f>IF(AND('Mapa final'!$J$23="Alta",'Mapa final'!$N$23="Catastrófico"),CONCATENATE("R",'Mapa final'!$A$23),"")</f>
        <v/>
      </c>
      <c r="AM14" s="290"/>
      <c r="AN14" s="84"/>
      <c r="AO14" s="324" t="s">
        <v>77</v>
      </c>
      <c r="AP14" s="325"/>
      <c r="AQ14" s="325"/>
      <c r="AR14" s="325"/>
      <c r="AS14" s="325"/>
      <c r="AT14" s="326"/>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3">
      <c r="A15" s="84"/>
      <c r="B15" s="313"/>
      <c r="C15" s="313"/>
      <c r="D15" s="314"/>
      <c r="E15" s="305"/>
      <c r="F15" s="306"/>
      <c r="G15" s="306"/>
      <c r="H15" s="306"/>
      <c r="I15" s="311"/>
      <c r="J15" s="273"/>
      <c r="K15" s="274"/>
      <c r="L15" s="274"/>
      <c r="M15" s="274"/>
      <c r="N15" s="274"/>
      <c r="O15" s="275"/>
      <c r="P15" s="273"/>
      <c r="Q15" s="274"/>
      <c r="R15" s="274"/>
      <c r="S15" s="274"/>
      <c r="T15" s="274"/>
      <c r="U15" s="275"/>
      <c r="V15" s="291"/>
      <c r="W15" s="292"/>
      <c r="X15" s="292"/>
      <c r="Y15" s="292"/>
      <c r="Z15" s="292"/>
      <c r="AA15" s="294"/>
      <c r="AB15" s="291"/>
      <c r="AC15" s="292"/>
      <c r="AD15" s="292"/>
      <c r="AE15" s="292"/>
      <c r="AF15" s="292"/>
      <c r="AG15" s="294"/>
      <c r="AH15" s="282"/>
      <c r="AI15" s="283"/>
      <c r="AJ15" s="283"/>
      <c r="AK15" s="283"/>
      <c r="AL15" s="283"/>
      <c r="AM15" s="284"/>
      <c r="AN15" s="84"/>
      <c r="AO15" s="327"/>
      <c r="AP15" s="328"/>
      <c r="AQ15" s="328"/>
      <c r="AR15" s="328"/>
      <c r="AS15" s="328"/>
      <c r="AT15" s="329"/>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3">
      <c r="A16" s="84"/>
      <c r="B16" s="313"/>
      <c r="C16" s="313"/>
      <c r="D16" s="314"/>
      <c r="E16" s="305"/>
      <c r="F16" s="306"/>
      <c r="G16" s="306"/>
      <c r="H16" s="306"/>
      <c r="I16" s="311"/>
      <c r="J16" s="273" t="str">
        <f>IF(AND('Mapa final'!$J$29="Alta",'Mapa final'!$N$29="Leve"),CONCATENATE("R",'Mapa final'!$A$29),"")</f>
        <v/>
      </c>
      <c r="K16" s="274"/>
      <c r="L16" s="274" t="str">
        <f>IF(AND('Mapa final'!$J$35="Alta",'Mapa final'!$N$35="Leve"),CONCATENATE("R",'Mapa final'!$A$35),"")</f>
        <v/>
      </c>
      <c r="M16" s="274"/>
      <c r="N16" s="274" t="str">
        <f>IF(AND('Mapa final'!$J$41="Alta",'Mapa final'!$N$41="Leve"),CONCATENATE("R",'Mapa final'!$A$41),"")</f>
        <v/>
      </c>
      <c r="O16" s="275"/>
      <c r="P16" s="273" t="str">
        <f>IF(AND('Mapa final'!$J$29="Alta",'Mapa final'!$N$29="Menor"),CONCATENATE("R",'Mapa final'!$A$29),"")</f>
        <v/>
      </c>
      <c r="Q16" s="274"/>
      <c r="R16" s="274" t="str">
        <f>IF(AND('Mapa final'!$J$35="Alta",'Mapa final'!$N$35="Menor"),CONCATENATE("R",'Mapa final'!$A$35),"")</f>
        <v/>
      </c>
      <c r="S16" s="274"/>
      <c r="T16" s="274" t="str">
        <f>IF(AND('Mapa final'!$J$41="Alta",'Mapa final'!$N$41="Menor"),CONCATENATE("R",'Mapa final'!$A$41),"")</f>
        <v/>
      </c>
      <c r="U16" s="275"/>
      <c r="V16" s="291" t="str">
        <f>IF(AND('Mapa final'!$J$29="Alta",'Mapa final'!$N$29="Moderado"),CONCATENATE("R",'Mapa final'!$A$29),"")</f>
        <v/>
      </c>
      <c r="W16" s="292"/>
      <c r="X16" s="293" t="str">
        <f>IF(AND('Mapa final'!$J$35="Alta",'Mapa final'!$N$35="Moderado"),CONCATENATE("R",'Mapa final'!$A$35),"")</f>
        <v/>
      </c>
      <c r="Y16" s="293"/>
      <c r="Z16" s="293" t="str">
        <f>IF(AND('Mapa final'!$J$41="Alta",'Mapa final'!$N$41="Moderado"),CONCATENATE("R",'Mapa final'!$A$41),"")</f>
        <v/>
      </c>
      <c r="AA16" s="294"/>
      <c r="AB16" s="291" t="str">
        <f>IF(AND('Mapa final'!$J$29="Alta",'Mapa final'!$N$29="Mayor"),CONCATENATE("R",'Mapa final'!$A$29),"")</f>
        <v/>
      </c>
      <c r="AC16" s="292"/>
      <c r="AD16" s="293" t="str">
        <f>IF(AND('Mapa final'!$J$35="Alta",'Mapa final'!$N$35="Mayor"),CONCATENATE("R",'Mapa final'!$A$35),"")</f>
        <v/>
      </c>
      <c r="AE16" s="293"/>
      <c r="AF16" s="293" t="str">
        <f>IF(AND('Mapa final'!$J$41="Alta",'Mapa final'!$N$41="Mayor"),CONCATENATE("R",'Mapa final'!$A$41),"")</f>
        <v/>
      </c>
      <c r="AG16" s="294"/>
      <c r="AH16" s="282" t="str">
        <f>IF(AND('Mapa final'!$J$29="Alta",'Mapa final'!$N$29="Catastrófico"),CONCATENATE("R",'Mapa final'!$A$29),"")</f>
        <v/>
      </c>
      <c r="AI16" s="283"/>
      <c r="AJ16" s="283" t="str">
        <f>IF(AND('Mapa final'!$J$35="Alta",'Mapa final'!$N$35="Catastrófico"),CONCATENATE("R",'Mapa final'!$A$35),"")</f>
        <v/>
      </c>
      <c r="AK16" s="283"/>
      <c r="AL16" s="283" t="str">
        <f>IF(AND('Mapa final'!$J$41="Alta",'Mapa final'!$N$41="Catastrófico"),CONCATENATE("R",'Mapa final'!$A$41),"")</f>
        <v/>
      </c>
      <c r="AM16" s="284"/>
      <c r="AN16" s="84"/>
      <c r="AO16" s="327"/>
      <c r="AP16" s="328"/>
      <c r="AQ16" s="328"/>
      <c r="AR16" s="328"/>
      <c r="AS16" s="328"/>
      <c r="AT16" s="329"/>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3">
      <c r="A17" s="84"/>
      <c r="B17" s="313"/>
      <c r="C17" s="313"/>
      <c r="D17" s="314"/>
      <c r="E17" s="305"/>
      <c r="F17" s="306"/>
      <c r="G17" s="306"/>
      <c r="H17" s="306"/>
      <c r="I17" s="311"/>
      <c r="J17" s="273"/>
      <c r="K17" s="274"/>
      <c r="L17" s="274"/>
      <c r="M17" s="274"/>
      <c r="N17" s="274"/>
      <c r="O17" s="275"/>
      <c r="P17" s="273"/>
      <c r="Q17" s="274"/>
      <c r="R17" s="274"/>
      <c r="S17" s="274"/>
      <c r="T17" s="274"/>
      <c r="U17" s="275"/>
      <c r="V17" s="291"/>
      <c r="W17" s="292"/>
      <c r="X17" s="293"/>
      <c r="Y17" s="293"/>
      <c r="Z17" s="293"/>
      <c r="AA17" s="294"/>
      <c r="AB17" s="291"/>
      <c r="AC17" s="292"/>
      <c r="AD17" s="293"/>
      <c r="AE17" s="293"/>
      <c r="AF17" s="293"/>
      <c r="AG17" s="294"/>
      <c r="AH17" s="282"/>
      <c r="AI17" s="283"/>
      <c r="AJ17" s="283"/>
      <c r="AK17" s="283"/>
      <c r="AL17" s="283"/>
      <c r="AM17" s="284"/>
      <c r="AN17" s="84"/>
      <c r="AO17" s="327"/>
      <c r="AP17" s="328"/>
      <c r="AQ17" s="328"/>
      <c r="AR17" s="328"/>
      <c r="AS17" s="328"/>
      <c r="AT17" s="329"/>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3">
      <c r="A18" s="84"/>
      <c r="B18" s="313"/>
      <c r="C18" s="313"/>
      <c r="D18" s="314"/>
      <c r="E18" s="305"/>
      <c r="F18" s="306"/>
      <c r="G18" s="306"/>
      <c r="H18" s="306"/>
      <c r="I18" s="311"/>
      <c r="J18" s="273" t="str">
        <f>IF(AND('Mapa final'!$J$47="Alta",'Mapa final'!$N$47="Leve"),CONCATENATE("R",'Mapa final'!$A$47),"")</f>
        <v/>
      </c>
      <c r="K18" s="274"/>
      <c r="L18" s="274" t="str">
        <f>IF(AND('Mapa final'!$J$53="Alta",'Mapa final'!$N$53="Leve"),CONCATENATE("R",'Mapa final'!$A$53),"")</f>
        <v/>
      </c>
      <c r="M18" s="274"/>
      <c r="N18" s="274" t="str">
        <f>IF(AND('Mapa final'!$J$59="Alta",'Mapa final'!$N$59="Leve"),CONCATENATE("R",'Mapa final'!$A$59),"")</f>
        <v/>
      </c>
      <c r="O18" s="275"/>
      <c r="P18" s="273" t="str">
        <f>IF(AND('Mapa final'!$J$47="Alta",'Mapa final'!$N$47="Menor"),CONCATENATE("R",'Mapa final'!$A$47),"")</f>
        <v/>
      </c>
      <c r="Q18" s="274"/>
      <c r="R18" s="274" t="str">
        <f>IF(AND('Mapa final'!$J$53="Alta",'Mapa final'!$N$53="Menor"),CONCATENATE("R",'Mapa final'!$A$53),"")</f>
        <v/>
      </c>
      <c r="S18" s="274"/>
      <c r="T18" s="274" t="str">
        <f>IF(AND('Mapa final'!$J$59="Alta",'Mapa final'!$N$59="Menor"),CONCATENATE("R",'Mapa final'!$A$59),"")</f>
        <v/>
      </c>
      <c r="U18" s="275"/>
      <c r="V18" s="291" t="str">
        <f>IF(AND('Mapa final'!$J$47="Alta",'Mapa final'!$N$47="Moderado"),CONCATENATE("R",'Mapa final'!$A$47),"")</f>
        <v/>
      </c>
      <c r="W18" s="292"/>
      <c r="X18" s="293" t="str">
        <f>IF(AND('Mapa final'!$J$53="Alta",'Mapa final'!$N$53="Moderado"),CONCATENATE("R",'Mapa final'!$A$53),"")</f>
        <v/>
      </c>
      <c r="Y18" s="293"/>
      <c r="Z18" s="293" t="str">
        <f>IF(AND('Mapa final'!$J$59="Alta",'Mapa final'!$N$59="Moderado"),CONCATENATE("R",'Mapa final'!$A$59),"")</f>
        <v/>
      </c>
      <c r="AA18" s="294"/>
      <c r="AB18" s="291" t="str">
        <f>IF(AND('Mapa final'!$J$47="Alta",'Mapa final'!$N$47="Mayor"),CONCATENATE("R",'Mapa final'!$A$47),"")</f>
        <v/>
      </c>
      <c r="AC18" s="292"/>
      <c r="AD18" s="293" t="str">
        <f>IF(AND('Mapa final'!$J$53="Alta",'Mapa final'!$N$53="Mayor"),CONCATENATE("R",'Mapa final'!$A$53),"")</f>
        <v/>
      </c>
      <c r="AE18" s="293"/>
      <c r="AF18" s="293" t="str">
        <f>IF(AND('Mapa final'!$J$59="Alta",'Mapa final'!$N$59="Mayor"),CONCATENATE("R",'Mapa final'!$A$59),"")</f>
        <v/>
      </c>
      <c r="AG18" s="294"/>
      <c r="AH18" s="282" t="str">
        <f>IF(AND('Mapa final'!$J$47="Alta",'Mapa final'!$N$47="Catastrófico"),CONCATENATE("R",'Mapa final'!$A$47),"")</f>
        <v/>
      </c>
      <c r="AI18" s="283"/>
      <c r="AJ18" s="283" t="str">
        <f>IF(AND('Mapa final'!$J$53="Alta",'Mapa final'!$N$53="Catastrófico"),CONCATENATE("R",'Mapa final'!$A$53),"")</f>
        <v/>
      </c>
      <c r="AK18" s="283"/>
      <c r="AL18" s="283" t="str">
        <f>IF(AND('Mapa final'!$J$59="Alta",'Mapa final'!$N$59="Catastrófico"),CONCATENATE("R",'Mapa final'!$A$59),"")</f>
        <v/>
      </c>
      <c r="AM18" s="284"/>
      <c r="AN18" s="84"/>
      <c r="AO18" s="327"/>
      <c r="AP18" s="328"/>
      <c r="AQ18" s="328"/>
      <c r="AR18" s="328"/>
      <c r="AS18" s="328"/>
      <c r="AT18" s="329"/>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3">
      <c r="A19" s="84"/>
      <c r="B19" s="313"/>
      <c r="C19" s="313"/>
      <c r="D19" s="314"/>
      <c r="E19" s="305"/>
      <c r="F19" s="306"/>
      <c r="G19" s="306"/>
      <c r="H19" s="306"/>
      <c r="I19" s="311"/>
      <c r="J19" s="273"/>
      <c r="K19" s="274"/>
      <c r="L19" s="274"/>
      <c r="M19" s="274"/>
      <c r="N19" s="274"/>
      <c r="O19" s="275"/>
      <c r="P19" s="273"/>
      <c r="Q19" s="274"/>
      <c r="R19" s="274"/>
      <c r="S19" s="274"/>
      <c r="T19" s="274"/>
      <c r="U19" s="275"/>
      <c r="V19" s="291"/>
      <c r="W19" s="292"/>
      <c r="X19" s="293"/>
      <c r="Y19" s="293"/>
      <c r="Z19" s="293"/>
      <c r="AA19" s="294"/>
      <c r="AB19" s="291"/>
      <c r="AC19" s="292"/>
      <c r="AD19" s="293"/>
      <c r="AE19" s="293"/>
      <c r="AF19" s="293"/>
      <c r="AG19" s="294"/>
      <c r="AH19" s="282"/>
      <c r="AI19" s="283"/>
      <c r="AJ19" s="283"/>
      <c r="AK19" s="283"/>
      <c r="AL19" s="283"/>
      <c r="AM19" s="284"/>
      <c r="AN19" s="84"/>
      <c r="AO19" s="327"/>
      <c r="AP19" s="328"/>
      <c r="AQ19" s="328"/>
      <c r="AR19" s="328"/>
      <c r="AS19" s="328"/>
      <c r="AT19" s="329"/>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3">
      <c r="A20" s="84"/>
      <c r="B20" s="313"/>
      <c r="C20" s="313"/>
      <c r="D20" s="314"/>
      <c r="E20" s="305"/>
      <c r="F20" s="306"/>
      <c r="G20" s="306"/>
      <c r="H20" s="306"/>
      <c r="I20" s="311"/>
      <c r="J20" s="273" t="str">
        <f>IF(AND('Mapa final'!$J$65="Alta",'Mapa final'!$N$65="Leve"),CONCATENATE("R",'Mapa final'!$A$65),"")</f>
        <v/>
      </c>
      <c r="K20" s="274"/>
      <c r="L20" s="274" t="str">
        <f>IF(AND('Mapa final'!$J$71="Alta",'Mapa final'!$N$71="Leve"),CONCATENATE("R",'Mapa final'!$A$71),"")</f>
        <v/>
      </c>
      <c r="M20" s="274"/>
      <c r="N20" s="274" t="str">
        <f>IF(AND('Mapa final'!$J$77="Alta",'Mapa final'!$N$77="Leve"),CONCATENATE("R",'Mapa final'!$A$77),"")</f>
        <v/>
      </c>
      <c r="O20" s="275"/>
      <c r="P20" s="273" t="str">
        <f>IF(AND('Mapa final'!$J$65="Alta",'Mapa final'!$N$65="Menor"),CONCATENATE("R",'Mapa final'!$A$65),"")</f>
        <v/>
      </c>
      <c r="Q20" s="274"/>
      <c r="R20" s="274" t="str">
        <f>IF(AND('Mapa final'!$J$71="Alta",'Mapa final'!$N$71="Menor"),CONCATENATE("R",'Mapa final'!$A$71),"")</f>
        <v/>
      </c>
      <c r="S20" s="274"/>
      <c r="T20" s="274" t="str">
        <f>IF(AND('Mapa final'!$J$77="Alta",'Mapa final'!$N$77="Menor"),CONCATENATE("R",'Mapa final'!$A$77),"")</f>
        <v/>
      </c>
      <c r="U20" s="275"/>
      <c r="V20" s="291" t="str">
        <f>IF(AND('Mapa final'!$J$65="Alta",'Mapa final'!$N$65="Moderado"),CONCATENATE("R",'Mapa final'!$A$65),"")</f>
        <v/>
      </c>
      <c r="W20" s="292"/>
      <c r="X20" s="293" t="str">
        <f>IF(AND('Mapa final'!$J$71="Alta",'Mapa final'!$N$71="Moderado"),CONCATENATE("R",'Mapa final'!$A$71),"")</f>
        <v/>
      </c>
      <c r="Y20" s="293"/>
      <c r="Z20" s="293" t="str">
        <f>IF(AND('Mapa final'!$J$77="Alta",'Mapa final'!$N$77="Moderado"),CONCATENATE("R",'Mapa final'!$A$77),"")</f>
        <v/>
      </c>
      <c r="AA20" s="294"/>
      <c r="AB20" s="291" t="str">
        <f>IF(AND('Mapa final'!$J$65="Alta",'Mapa final'!$N$65="Mayor"),CONCATENATE("R",'Mapa final'!$A$65),"")</f>
        <v/>
      </c>
      <c r="AC20" s="292"/>
      <c r="AD20" s="293" t="str">
        <f>IF(AND('Mapa final'!$J$71="Alta",'Mapa final'!$N$71="Mayor"),CONCATENATE("R",'Mapa final'!$A$71),"")</f>
        <v/>
      </c>
      <c r="AE20" s="293"/>
      <c r="AF20" s="293" t="str">
        <f>IF(AND('Mapa final'!$J$77="Alta",'Mapa final'!$N$77="Mayor"),CONCATENATE("R",'Mapa final'!$A$77),"")</f>
        <v/>
      </c>
      <c r="AG20" s="294"/>
      <c r="AH20" s="282" t="str">
        <f>IF(AND('Mapa final'!$J$65="Alta",'Mapa final'!$N$65="Catastrófico"),CONCATENATE("R",'Mapa final'!$A$65),"")</f>
        <v/>
      </c>
      <c r="AI20" s="283"/>
      <c r="AJ20" s="283" t="str">
        <f>IF(AND('Mapa final'!$J$71="Alta",'Mapa final'!$N$71="Catastrófico"),CONCATENATE("R",'Mapa final'!$A$71),"")</f>
        <v/>
      </c>
      <c r="AK20" s="283"/>
      <c r="AL20" s="283" t="str">
        <f>IF(AND('Mapa final'!$J$77="Alta",'Mapa final'!$N$77="Catastrófico"),CONCATENATE("R",'Mapa final'!$A$77),"")</f>
        <v/>
      </c>
      <c r="AM20" s="284"/>
      <c r="AN20" s="84"/>
      <c r="AO20" s="327"/>
      <c r="AP20" s="328"/>
      <c r="AQ20" s="328"/>
      <c r="AR20" s="328"/>
      <c r="AS20" s="328"/>
      <c r="AT20" s="329"/>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5">
      <c r="A21" s="84"/>
      <c r="B21" s="313"/>
      <c r="C21" s="313"/>
      <c r="D21" s="314"/>
      <c r="E21" s="308"/>
      <c r="F21" s="309"/>
      <c r="G21" s="309"/>
      <c r="H21" s="309"/>
      <c r="I21" s="309"/>
      <c r="J21" s="276"/>
      <c r="K21" s="277"/>
      <c r="L21" s="277"/>
      <c r="M21" s="277"/>
      <c r="N21" s="277"/>
      <c r="O21" s="278"/>
      <c r="P21" s="276"/>
      <c r="Q21" s="277"/>
      <c r="R21" s="277"/>
      <c r="S21" s="277"/>
      <c r="T21" s="277"/>
      <c r="U21" s="278"/>
      <c r="V21" s="295"/>
      <c r="W21" s="296"/>
      <c r="X21" s="296"/>
      <c r="Y21" s="296"/>
      <c r="Z21" s="296"/>
      <c r="AA21" s="297"/>
      <c r="AB21" s="295"/>
      <c r="AC21" s="296"/>
      <c r="AD21" s="296"/>
      <c r="AE21" s="296"/>
      <c r="AF21" s="296"/>
      <c r="AG21" s="297"/>
      <c r="AH21" s="285"/>
      <c r="AI21" s="286"/>
      <c r="AJ21" s="286"/>
      <c r="AK21" s="286"/>
      <c r="AL21" s="286"/>
      <c r="AM21" s="287"/>
      <c r="AN21" s="84"/>
      <c r="AO21" s="330"/>
      <c r="AP21" s="331"/>
      <c r="AQ21" s="331"/>
      <c r="AR21" s="331"/>
      <c r="AS21" s="331"/>
      <c r="AT21" s="332"/>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3">
      <c r="A22" s="84"/>
      <c r="B22" s="313"/>
      <c r="C22" s="313"/>
      <c r="D22" s="314"/>
      <c r="E22" s="302" t="s">
        <v>109</v>
      </c>
      <c r="F22" s="303"/>
      <c r="G22" s="303"/>
      <c r="H22" s="303"/>
      <c r="I22" s="304"/>
      <c r="J22" s="279" t="str">
        <f>IF(AND('Mapa final'!$J$11="Media",'Mapa final'!$N$11="Leve"),CONCATENATE("R",'Mapa final'!$A$11),"")</f>
        <v/>
      </c>
      <c r="K22" s="280"/>
      <c r="L22" s="280" t="str">
        <f>IF(AND('Mapa final'!$J$17="Media",'Mapa final'!$N$17="Leve"),CONCATENATE("R",'Mapa final'!$A$17),"")</f>
        <v/>
      </c>
      <c r="M22" s="280"/>
      <c r="N22" s="280" t="str">
        <f>IF(AND('Mapa final'!$J$23="Media",'Mapa final'!$N$23="Leve"),CONCATENATE("R",'Mapa final'!$A$23),"")</f>
        <v/>
      </c>
      <c r="O22" s="281"/>
      <c r="P22" s="279" t="str">
        <f>IF(AND('Mapa final'!$J$11="Media",'Mapa final'!$N$11="Menor"),CONCATENATE("R",'Mapa final'!$A$11),"")</f>
        <v/>
      </c>
      <c r="Q22" s="280"/>
      <c r="R22" s="280" t="str">
        <f>IF(AND('Mapa final'!$J$17="Media",'Mapa final'!$N$17="Menor"),CONCATENATE("R",'Mapa final'!$A$17),"")</f>
        <v/>
      </c>
      <c r="S22" s="280"/>
      <c r="T22" s="280" t="str">
        <f>IF(AND('Mapa final'!$J$23="Media",'Mapa final'!$N$23="Menor"),CONCATENATE("R",'Mapa final'!$A$23),"")</f>
        <v/>
      </c>
      <c r="U22" s="281"/>
      <c r="V22" s="279" t="str">
        <f>IF(AND('Mapa final'!$J$11="Media",'Mapa final'!$N$11="Moderado"),CONCATENATE("R",'Mapa final'!$A$11),"")</f>
        <v/>
      </c>
      <c r="W22" s="280"/>
      <c r="X22" s="280" t="str">
        <f>IF(AND('Mapa final'!$J$17="Media",'Mapa final'!$N$17="Moderado"),CONCATENATE("R",'Mapa final'!$A$17),"")</f>
        <v/>
      </c>
      <c r="Y22" s="280"/>
      <c r="Z22" s="280" t="str">
        <f>IF(AND('Mapa final'!$J$23="Media",'Mapa final'!$N$23="Moderado"),CONCATENATE("R",'Mapa final'!$A$23),"")</f>
        <v/>
      </c>
      <c r="AA22" s="281"/>
      <c r="AB22" s="298" t="str">
        <f>IF(AND('Mapa final'!$J$11="Media",'Mapa final'!$N$11="Mayor"),CONCATENATE("R",'Mapa final'!$A$11),"")</f>
        <v/>
      </c>
      <c r="AC22" s="299"/>
      <c r="AD22" s="299" t="str">
        <f>IF(AND('Mapa final'!$J$17="Media",'Mapa final'!$N$17="Mayor"),CONCATENATE("R",'Mapa final'!$A$17),"")</f>
        <v/>
      </c>
      <c r="AE22" s="299"/>
      <c r="AF22" s="299" t="str">
        <f>IF(AND('Mapa final'!$J$23="Media",'Mapa final'!$N$23="Mayor"),CONCATENATE("R",'Mapa final'!$A$23),"")</f>
        <v/>
      </c>
      <c r="AG22" s="300"/>
      <c r="AH22" s="288" t="str">
        <f>IF(AND('Mapa final'!$J$11="Media",'Mapa final'!$N$11="Catastrófico"),CONCATENATE("R",'Mapa final'!$A$11),"")</f>
        <v/>
      </c>
      <c r="AI22" s="289"/>
      <c r="AJ22" s="289" t="str">
        <f>IF(AND('Mapa final'!$J$17="Media",'Mapa final'!$N$17="Catastrófico"),CONCATENATE("R",'Mapa final'!$A$17),"")</f>
        <v/>
      </c>
      <c r="AK22" s="289"/>
      <c r="AL22" s="289" t="str">
        <f>IF(AND('Mapa final'!$J$23="Media",'Mapa final'!$N$23="Catastrófico"),CONCATENATE("R",'Mapa final'!$A$23),"")</f>
        <v/>
      </c>
      <c r="AM22" s="290"/>
      <c r="AN22" s="84"/>
      <c r="AO22" s="333" t="s">
        <v>78</v>
      </c>
      <c r="AP22" s="334"/>
      <c r="AQ22" s="334"/>
      <c r="AR22" s="334"/>
      <c r="AS22" s="334"/>
      <c r="AT22" s="335"/>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3">
      <c r="A23" s="84"/>
      <c r="B23" s="313"/>
      <c r="C23" s="313"/>
      <c r="D23" s="314"/>
      <c r="E23" s="305"/>
      <c r="F23" s="306"/>
      <c r="G23" s="306"/>
      <c r="H23" s="306"/>
      <c r="I23" s="307"/>
      <c r="J23" s="273"/>
      <c r="K23" s="274"/>
      <c r="L23" s="274"/>
      <c r="M23" s="274"/>
      <c r="N23" s="274"/>
      <c r="O23" s="275"/>
      <c r="P23" s="273"/>
      <c r="Q23" s="274"/>
      <c r="R23" s="274"/>
      <c r="S23" s="274"/>
      <c r="T23" s="274"/>
      <c r="U23" s="275"/>
      <c r="V23" s="273"/>
      <c r="W23" s="274"/>
      <c r="X23" s="274"/>
      <c r="Y23" s="274"/>
      <c r="Z23" s="274"/>
      <c r="AA23" s="275"/>
      <c r="AB23" s="291"/>
      <c r="AC23" s="292"/>
      <c r="AD23" s="292"/>
      <c r="AE23" s="292"/>
      <c r="AF23" s="292"/>
      <c r="AG23" s="294"/>
      <c r="AH23" s="282"/>
      <c r="AI23" s="283"/>
      <c r="AJ23" s="283"/>
      <c r="AK23" s="283"/>
      <c r="AL23" s="283"/>
      <c r="AM23" s="284"/>
      <c r="AN23" s="84"/>
      <c r="AO23" s="336"/>
      <c r="AP23" s="337"/>
      <c r="AQ23" s="337"/>
      <c r="AR23" s="337"/>
      <c r="AS23" s="337"/>
      <c r="AT23" s="338"/>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3">
      <c r="A24" s="84"/>
      <c r="B24" s="313"/>
      <c r="C24" s="313"/>
      <c r="D24" s="314"/>
      <c r="E24" s="305"/>
      <c r="F24" s="306"/>
      <c r="G24" s="306"/>
      <c r="H24" s="306"/>
      <c r="I24" s="307"/>
      <c r="J24" s="273" t="str">
        <f>IF(AND('Mapa final'!$J$29="Media",'Mapa final'!$N$29="Leve"),CONCATENATE("R",'Mapa final'!$A$29),"")</f>
        <v/>
      </c>
      <c r="K24" s="274"/>
      <c r="L24" s="274" t="str">
        <f>IF(AND('Mapa final'!$J$35="Media",'Mapa final'!$N$35="Leve"),CONCATENATE("R",'Mapa final'!$A$35),"")</f>
        <v/>
      </c>
      <c r="M24" s="274"/>
      <c r="N24" s="274" t="str">
        <f>IF(AND('Mapa final'!$J$41="Media",'Mapa final'!$N$41="Leve"),CONCATENATE("R",'Mapa final'!$A$41),"")</f>
        <v/>
      </c>
      <c r="O24" s="275"/>
      <c r="P24" s="273" t="str">
        <f>IF(AND('Mapa final'!$J$29="Media",'Mapa final'!$N$29="Menor"),CONCATENATE("R",'Mapa final'!$A$29),"")</f>
        <v/>
      </c>
      <c r="Q24" s="274"/>
      <c r="R24" s="274" t="str">
        <f>IF(AND('Mapa final'!$J$35="Media",'Mapa final'!$N$35="Menor"),CONCATENATE("R",'Mapa final'!$A$35),"")</f>
        <v/>
      </c>
      <c r="S24" s="274"/>
      <c r="T24" s="274" t="str">
        <f>IF(AND('Mapa final'!$J$41="Media",'Mapa final'!$N$41="Menor"),CONCATENATE("R",'Mapa final'!$A$41),"")</f>
        <v/>
      </c>
      <c r="U24" s="275"/>
      <c r="V24" s="273" t="str">
        <f>IF(AND('Mapa final'!$J$29="Media",'Mapa final'!$N$29="Moderado"),CONCATENATE("R",'Mapa final'!$A$29),"")</f>
        <v/>
      </c>
      <c r="W24" s="274"/>
      <c r="X24" s="274" t="str">
        <f>IF(AND('Mapa final'!$J$35="Media",'Mapa final'!$N$35="Moderado"),CONCATENATE("R",'Mapa final'!$A$35),"")</f>
        <v/>
      </c>
      <c r="Y24" s="274"/>
      <c r="Z24" s="274" t="str">
        <f>IF(AND('Mapa final'!$J$41="Media",'Mapa final'!$N$41="Moderado"),CONCATENATE("R",'Mapa final'!$A$41),"")</f>
        <v/>
      </c>
      <c r="AA24" s="275"/>
      <c r="AB24" s="291" t="str">
        <f>IF(AND('Mapa final'!$J$29="Media",'Mapa final'!$N$29="Mayor"),CONCATENATE("R",'Mapa final'!$A$29),"")</f>
        <v/>
      </c>
      <c r="AC24" s="292"/>
      <c r="AD24" s="293" t="str">
        <f>IF(AND('Mapa final'!$J$35="Media",'Mapa final'!$N$35="Mayor"),CONCATENATE("R",'Mapa final'!$A$35),"")</f>
        <v/>
      </c>
      <c r="AE24" s="293"/>
      <c r="AF24" s="293" t="str">
        <f>IF(AND('Mapa final'!$J$41="Media",'Mapa final'!$N$41="Mayor"),CONCATENATE("R",'Mapa final'!$A$41),"")</f>
        <v/>
      </c>
      <c r="AG24" s="294"/>
      <c r="AH24" s="282" t="str">
        <f>IF(AND('Mapa final'!$J$29="Media",'Mapa final'!$N$29="Catastrófico"),CONCATENATE("R",'Mapa final'!$A$29),"")</f>
        <v/>
      </c>
      <c r="AI24" s="283"/>
      <c r="AJ24" s="283" t="str">
        <f>IF(AND('Mapa final'!$J$35="Media",'Mapa final'!$N$35="Catastrófico"),CONCATENATE("R",'Mapa final'!$A$35),"")</f>
        <v/>
      </c>
      <c r="AK24" s="283"/>
      <c r="AL24" s="283" t="str">
        <f>IF(AND('Mapa final'!$J$41="Media",'Mapa final'!$N$41="Catastrófico"),CONCATENATE("R",'Mapa final'!$A$41),"")</f>
        <v/>
      </c>
      <c r="AM24" s="284"/>
      <c r="AN24" s="84"/>
      <c r="AO24" s="336"/>
      <c r="AP24" s="337"/>
      <c r="AQ24" s="337"/>
      <c r="AR24" s="337"/>
      <c r="AS24" s="337"/>
      <c r="AT24" s="338"/>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3">
      <c r="A25" s="84"/>
      <c r="B25" s="313"/>
      <c r="C25" s="313"/>
      <c r="D25" s="314"/>
      <c r="E25" s="305"/>
      <c r="F25" s="306"/>
      <c r="G25" s="306"/>
      <c r="H25" s="306"/>
      <c r="I25" s="307"/>
      <c r="J25" s="273"/>
      <c r="K25" s="274"/>
      <c r="L25" s="274"/>
      <c r="M25" s="274"/>
      <c r="N25" s="274"/>
      <c r="O25" s="275"/>
      <c r="P25" s="273"/>
      <c r="Q25" s="274"/>
      <c r="R25" s="274"/>
      <c r="S25" s="274"/>
      <c r="T25" s="274"/>
      <c r="U25" s="275"/>
      <c r="V25" s="273"/>
      <c r="W25" s="274"/>
      <c r="X25" s="274"/>
      <c r="Y25" s="274"/>
      <c r="Z25" s="274"/>
      <c r="AA25" s="275"/>
      <c r="AB25" s="291"/>
      <c r="AC25" s="292"/>
      <c r="AD25" s="293"/>
      <c r="AE25" s="293"/>
      <c r="AF25" s="293"/>
      <c r="AG25" s="294"/>
      <c r="AH25" s="282"/>
      <c r="AI25" s="283"/>
      <c r="AJ25" s="283"/>
      <c r="AK25" s="283"/>
      <c r="AL25" s="283"/>
      <c r="AM25" s="284"/>
      <c r="AN25" s="84"/>
      <c r="AO25" s="336"/>
      <c r="AP25" s="337"/>
      <c r="AQ25" s="337"/>
      <c r="AR25" s="337"/>
      <c r="AS25" s="337"/>
      <c r="AT25" s="338"/>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3">
      <c r="A26" s="84"/>
      <c r="B26" s="313"/>
      <c r="C26" s="313"/>
      <c r="D26" s="314"/>
      <c r="E26" s="305"/>
      <c r="F26" s="306"/>
      <c r="G26" s="306"/>
      <c r="H26" s="306"/>
      <c r="I26" s="307"/>
      <c r="J26" s="273" t="str">
        <f>IF(AND('Mapa final'!$J$47="Media",'Mapa final'!$N$47="Leve"),CONCATENATE("R",'Mapa final'!$A$47),"")</f>
        <v/>
      </c>
      <c r="K26" s="274"/>
      <c r="L26" s="274" t="str">
        <f>IF(AND('Mapa final'!$J$53="Media",'Mapa final'!$N$53="Leve"),CONCATENATE("R",'Mapa final'!$A$53),"")</f>
        <v/>
      </c>
      <c r="M26" s="274"/>
      <c r="N26" s="274" t="str">
        <f>IF(AND('Mapa final'!$J$59="Media",'Mapa final'!$N$59="Leve"),CONCATENATE("R",'Mapa final'!$A$59),"")</f>
        <v/>
      </c>
      <c r="O26" s="275"/>
      <c r="P26" s="273" t="str">
        <f>IF(AND('Mapa final'!$J$47="Media",'Mapa final'!$N$47="Menor"),CONCATENATE("R",'Mapa final'!$A$47),"")</f>
        <v/>
      </c>
      <c r="Q26" s="274"/>
      <c r="R26" s="274" t="str">
        <f>IF(AND('Mapa final'!$J$53="Media",'Mapa final'!$N$53="Menor"),CONCATENATE("R",'Mapa final'!$A$53),"")</f>
        <v/>
      </c>
      <c r="S26" s="274"/>
      <c r="T26" s="274" t="str">
        <f>IF(AND('Mapa final'!$J$59="Media",'Mapa final'!$N$59="Menor"),CONCATENATE("R",'Mapa final'!$A$59),"")</f>
        <v/>
      </c>
      <c r="U26" s="275"/>
      <c r="V26" s="273" t="str">
        <f>IF(AND('Mapa final'!$J$47="Media",'Mapa final'!$N$47="Moderado"),CONCATENATE("R",'Mapa final'!$A$47),"")</f>
        <v/>
      </c>
      <c r="W26" s="274"/>
      <c r="X26" s="274" t="str">
        <f>IF(AND('Mapa final'!$J$53="Media",'Mapa final'!$N$53="Moderado"),CONCATENATE("R",'Mapa final'!$A$53),"")</f>
        <v/>
      </c>
      <c r="Y26" s="274"/>
      <c r="Z26" s="274" t="str">
        <f>IF(AND('Mapa final'!$J$59="Media",'Mapa final'!$N$59="Moderado"),CONCATENATE("R",'Mapa final'!$A$59),"")</f>
        <v/>
      </c>
      <c r="AA26" s="275"/>
      <c r="AB26" s="291" t="str">
        <f>IF(AND('Mapa final'!$J$47="Media",'Mapa final'!$N$47="Mayor"),CONCATENATE("R",'Mapa final'!$A$47),"")</f>
        <v/>
      </c>
      <c r="AC26" s="292"/>
      <c r="AD26" s="293" t="str">
        <f>IF(AND('Mapa final'!$J$53="Media",'Mapa final'!$N$53="Mayor"),CONCATENATE("R",'Mapa final'!$A$53),"")</f>
        <v/>
      </c>
      <c r="AE26" s="293"/>
      <c r="AF26" s="293" t="str">
        <f>IF(AND('Mapa final'!$J$59="Media",'Mapa final'!$N$59="Mayor"),CONCATENATE("R",'Mapa final'!$A$59),"")</f>
        <v/>
      </c>
      <c r="AG26" s="294"/>
      <c r="AH26" s="282" t="str">
        <f>IF(AND('Mapa final'!$J$47="Media",'Mapa final'!$N$47="Catastrófico"),CONCATENATE("R",'Mapa final'!$A$47),"")</f>
        <v/>
      </c>
      <c r="AI26" s="283"/>
      <c r="AJ26" s="283" t="str">
        <f>IF(AND('Mapa final'!$J$53="Media",'Mapa final'!$N$53="Catastrófico"),CONCATENATE("R",'Mapa final'!$A$53),"")</f>
        <v/>
      </c>
      <c r="AK26" s="283"/>
      <c r="AL26" s="283" t="str">
        <f>IF(AND('Mapa final'!$J$59="Media",'Mapa final'!$N$59="Catastrófico"),CONCATENATE("R",'Mapa final'!$A$59),"")</f>
        <v/>
      </c>
      <c r="AM26" s="284"/>
      <c r="AN26" s="84"/>
      <c r="AO26" s="336"/>
      <c r="AP26" s="337"/>
      <c r="AQ26" s="337"/>
      <c r="AR26" s="337"/>
      <c r="AS26" s="337"/>
      <c r="AT26" s="338"/>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3">
      <c r="A27" s="84"/>
      <c r="B27" s="313"/>
      <c r="C27" s="313"/>
      <c r="D27" s="314"/>
      <c r="E27" s="305"/>
      <c r="F27" s="306"/>
      <c r="G27" s="306"/>
      <c r="H27" s="306"/>
      <c r="I27" s="307"/>
      <c r="J27" s="273"/>
      <c r="K27" s="274"/>
      <c r="L27" s="274"/>
      <c r="M27" s="274"/>
      <c r="N27" s="274"/>
      <c r="O27" s="275"/>
      <c r="P27" s="273"/>
      <c r="Q27" s="274"/>
      <c r="R27" s="274"/>
      <c r="S27" s="274"/>
      <c r="T27" s="274"/>
      <c r="U27" s="275"/>
      <c r="V27" s="273"/>
      <c r="W27" s="274"/>
      <c r="X27" s="274"/>
      <c r="Y27" s="274"/>
      <c r="Z27" s="274"/>
      <c r="AA27" s="275"/>
      <c r="AB27" s="291"/>
      <c r="AC27" s="292"/>
      <c r="AD27" s="293"/>
      <c r="AE27" s="293"/>
      <c r="AF27" s="293"/>
      <c r="AG27" s="294"/>
      <c r="AH27" s="282"/>
      <c r="AI27" s="283"/>
      <c r="AJ27" s="283"/>
      <c r="AK27" s="283"/>
      <c r="AL27" s="283"/>
      <c r="AM27" s="284"/>
      <c r="AN27" s="84"/>
      <c r="AO27" s="336"/>
      <c r="AP27" s="337"/>
      <c r="AQ27" s="337"/>
      <c r="AR27" s="337"/>
      <c r="AS27" s="337"/>
      <c r="AT27" s="338"/>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3">
      <c r="A28" s="84"/>
      <c r="B28" s="313"/>
      <c r="C28" s="313"/>
      <c r="D28" s="314"/>
      <c r="E28" s="305"/>
      <c r="F28" s="306"/>
      <c r="G28" s="306"/>
      <c r="H28" s="306"/>
      <c r="I28" s="307"/>
      <c r="J28" s="273" t="str">
        <f>IF(AND('Mapa final'!$J$65="Media",'Mapa final'!$N$65="Leve"),CONCATENATE("R",'Mapa final'!$A$65),"")</f>
        <v/>
      </c>
      <c r="K28" s="274"/>
      <c r="L28" s="274" t="str">
        <f>IF(AND('Mapa final'!$J$71="Media",'Mapa final'!$N$71="Leve"),CONCATENATE("R",'Mapa final'!$A$71),"")</f>
        <v/>
      </c>
      <c r="M28" s="274"/>
      <c r="N28" s="274" t="str">
        <f>IF(AND('Mapa final'!$J$77="Media",'Mapa final'!$N$77="Leve"),CONCATENATE("R",'Mapa final'!$A$77),"")</f>
        <v/>
      </c>
      <c r="O28" s="275"/>
      <c r="P28" s="273" t="str">
        <f>IF(AND('Mapa final'!$J$65="Media",'Mapa final'!$N$65="Menor"),CONCATENATE("R",'Mapa final'!$A$65),"")</f>
        <v/>
      </c>
      <c r="Q28" s="274"/>
      <c r="R28" s="274" t="str">
        <f>IF(AND('Mapa final'!$J$71="Media",'Mapa final'!$N$71="Menor"),CONCATENATE("R",'Mapa final'!$A$71),"")</f>
        <v/>
      </c>
      <c r="S28" s="274"/>
      <c r="T28" s="274" t="str">
        <f>IF(AND('Mapa final'!$J$77="Media",'Mapa final'!$N$77="Menor"),CONCATENATE("R",'Mapa final'!$A$77),"")</f>
        <v/>
      </c>
      <c r="U28" s="275"/>
      <c r="V28" s="273" t="str">
        <f>IF(AND('Mapa final'!$J$65="Media",'Mapa final'!$N$65="Moderado"),CONCATENATE("R",'Mapa final'!$A$65),"")</f>
        <v/>
      </c>
      <c r="W28" s="274"/>
      <c r="X28" s="274" t="str">
        <f>IF(AND('Mapa final'!$J$71="Media",'Mapa final'!$N$71="Moderado"),CONCATENATE("R",'Mapa final'!$A$71),"")</f>
        <v/>
      </c>
      <c r="Y28" s="274"/>
      <c r="Z28" s="274" t="str">
        <f>IF(AND('Mapa final'!$J$77="Media",'Mapa final'!$N$77="Moderado"),CONCATENATE("R",'Mapa final'!$A$77),"")</f>
        <v/>
      </c>
      <c r="AA28" s="275"/>
      <c r="AB28" s="291" t="str">
        <f>IF(AND('Mapa final'!$J$65="Media",'Mapa final'!$N$65="Mayor"),CONCATENATE("R",'Mapa final'!$A$65),"")</f>
        <v/>
      </c>
      <c r="AC28" s="292"/>
      <c r="AD28" s="293" t="str">
        <f>IF(AND('Mapa final'!$J$71="Media",'Mapa final'!$N$71="Mayor"),CONCATENATE("R",'Mapa final'!$A$71),"")</f>
        <v/>
      </c>
      <c r="AE28" s="293"/>
      <c r="AF28" s="293" t="str">
        <f>IF(AND('Mapa final'!$J$77="Media",'Mapa final'!$N$77="Mayor"),CONCATENATE("R",'Mapa final'!$A$77),"")</f>
        <v/>
      </c>
      <c r="AG28" s="294"/>
      <c r="AH28" s="282" t="str">
        <f>IF(AND('Mapa final'!$J$65="Media",'Mapa final'!$N$65="Catastrófico"),CONCATENATE("R",'Mapa final'!$A$65),"")</f>
        <v/>
      </c>
      <c r="AI28" s="283"/>
      <c r="AJ28" s="283" t="str">
        <f>IF(AND('Mapa final'!$J$71="Media",'Mapa final'!$N$71="Catastrófico"),CONCATENATE("R",'Mapa final'!$A$71),"")</f>
        <v/>
      </c>
      <c r="AK28" s="283"/>
      <c r="AL28" s="283" t="str">
        <f>IF(AND('Mapa final'!$J$77="Media",'Mapa final'!$N$77="Catastrófico"),CONCATENATE("R",'Mapa final'!$A$77),"")</f>
        <v/>
      </c>
      <c r="AM28" s="284"/>
      <c r="AN28" s="84"/>
      <c r="AO28" s="336"/>
      <c r="AP28" s="337"/>
      <c r="AQ28" s="337"/>
      <c r="AR28" s="337"/>
      <c r="AS28" s="337"/>
      <c r="AT28" s="338"/>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 thickBot="1" x14ac:dyDescent="0.35">
      <c r="A29" s="84"/>
      <c r="B29" s="313"/>
      <c r="C29" s="313"/>
      <c r="D29" s="314"/>
      <c r="E29" s="308"/>
      <c r="F29" s="309"/>
      <c r="G29" s="309"/>
      <c r="H29" s="309"/>
      <c r="I29" s="310"/>
      <c r="J29" s="273"/>
      <c r="K29" s="274"/>
      <c r="L29" s="274"/>
      <c r="M29" s="274"/>
      <c r="N29" s="274"/>
      <c r="O29" s="275"/>
      <c r="P29" s="276"/>
      <c r="Q29" s="277"/>
      <c r="R29" s="277"/>
      <c r="S29" s="277"/>
      <c r="T29" s="277"/>
      <c r="U29" s="278"/>
      <c r="V29" s="276"/>
      <c r="W29" s="277"/>
      <c r="X29" s="277"/>
      <c r="Y29" s="277"/>
      <c r="Z29" s="277"/>
      <c r="AA29" s="278"/>
      <c r="AB29" s="295"/>
      <c r="AC29" s="296"/>
      <c r="AD29" s="296"/>
      <c r="AE29" s="296"/>
      <c r="AF29" s="296"/>
      <c r="AG29" s="297"/>
      <c r="AH29" s="285"/>
      <c r="AI29" s="286"/>
      <c r="AJ29" s="286"/>
      <c r="AK29" s="286"/>
      <c r="AL29" s="286"/>
      <c r="AM29" s="287"/>
      <c r="AN29" s="84"/>
      <c r="AO29" s="339"/>
      <c r="AP29" s="340"/>
      <c r="AQ29" s="340"/>
      <c r="AR29" s="340"/>
      <c r="AS29" s="340"/>
      <c r="AT29" s="341"/>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3">
      <c r="A30" s="84"/>
      <c r="B30" s="313"/>
      <c r="C30" s="313"/>
      <c r="D30" s="314"/>
      <c r="E30" s="302" t="s">
        <v>106</v>
      </c>
      <c r="F30" s="303"/>
      <c r="G30" s="303"/>
      <c r="H30" s="303"/>
      <c r="I30" s="303"/>
      <c r="J30" s="270" t="str">
        <f>IF(AND('Mapa final'!$J$11="Baja",'Mapa final'!$N$11="Leve"),CONCATENATE("R",'Mapa final'!$A$11),"")</f>
        <v/>
      </c>
      <c r="K30" s="271"/>
      <c r="L30" s="271" t="str">
        <f>IF(AND('Mapa final'!$J$17="Baja",'Mapa final'!$N$17="Leve"),CONCATENATE("R",'Mapa final'!$A$17),"")</f>
        <v/>
      </c>
      <c r="M30" s="271"/>
      <c r="N30" s="271" t="str">
        <f>IF(AND('Mapa final'!$J$23="Baja",'Mapa final'!$N$23="Leve"),CONCATENATE("R",'Mapa final'!$A$23),"")</f>
        <v/>
      </c>
      <c r="O30" s="272"/>
      <c r="P30" s="280" t="str">
        <f>IF(AND('Mapa final'!$J$11="Baja",'Mapa final'!$N$11="Menor"),CONCATENATE("R",'Mapa final'!$A$11),"")</f>
        <v/>
      </c>
      <c r="Q30" s="280"/>
      <c r="R30" s="280" t="str">
        <f>IF(AND('Mapa final'!$J$17="Baja",'Mapa final'!$N$17="Menor"),CONCATENATE("R",'Mapa final'!$A$17),"")</f>
        <v/>
      </c>
      <c r="S30" s="280"/>
      <c r="T30" s="280" t="str">
        <f>IF(AND('Mapa final'!$J$23="Baja",'Mapa final'!$N$23="Menor"),CONCATENATE("R",'Mapa final'!$A$23),"")</f>
        <v/>
      </c>
      <c r="U30" s="281"/>
      <c r="V30" s="279" t="str">
        <f>IF(AND('Mapa final'!$J$11="Baja",'Mapa final'!$N$11="Moderado"),CONCATENATE("R",'Mapa final'!$A$11),"")</f>
        <v/>
      </c>
      <c r="W30" s="280"/>
      <c r="X30" s="280" t="str">
        <f>IF(AND('Mapa final'!$J$17="Baja",'Mapa final'!$N$17="Moderado"),CONCATENATE("R",'Mapa final'!$A$17),"")</f>
        <v/>
      </c>
      <c r="Y30" s="280"/>
      <c r="Z30" s="280" t="str">
        <f>IF(AND('Mapa final'!$J$23="Baja",'Mapa final'!$N$23="Moderado"),CONCATENATE("R",'Mapa final'!$A$23),"")</f>
        <v>R3</v>
      </c>
      <c r="AA30" s="281"/>
      <c r="AB30" s="298" t="str">
        <f>IF(AND('Mapa final'!$J$11="Baja",'Mapa final'!$N$11="Mayor"),CONCATENATE("R",'Mapa final'!$A$11),"")</f>
        <v/>
      </c>
      <c r="AC30" s="299"/>
      <c r="AD30" s="299" t="str">
        <f>IF(AND('Mapa final'!$J$17="Baja",'Mapa final'!$N$17="Mayor"),CONCATENATE("R",'Mapa final'!$A$17),"")</f>
        <v/>
      </c>
      <c r="AE30" s="299"/>
      <c r="AF30" s="299" t="str">
        <f>IF(AND('Mapa final'!$J$23="Baja",'Mapa final'!$N$23="Mayor"),CONCATENATE("R",'Mapa final'!$A$23),"")</f>
        <v/>
      </c>
      <c r="AG30" s="300"/>
      <c r="AH30" s="288" t="str">
        <f>IF(AND('Mapa final'!$J$11="Baja",'Mapa final'!$N$11="Catastrófico"),CONCATENATE("R",'Mapa final'!$A$11),"")</f>
        <v/>
      </c>
      <c r="AI30" s="289"/>
      <c r="AJ30" s="289" t="str">
        <f>IF(AND('Mapa final'!$J$17="Baja",'Mapa final'!$N$17="Catastrófico"),CONCATENATE("R",'Mapa final'!$A$17),"")</f>
        <v/>
      </c>
      <c r="AK30" s="289"/>
      <c r="AL30" s="289" t="str">
        <f>IF(AND('Mapa final'!$J$23="Baja",'Mapa final'!$N$23="Catastrófico"),CONCATENATE("R",'Mapa final'!$A$23),"")</f>
        <v/>
      </c>
      <c r="AM30" s="290"/>
      <c r="AN30" s="84"/>
      <c r="AO30" s="342" t="s">
        <v>79</v>
      </c>
      <c r="AP30" s="343"/>
      <c r="AQ30" s="343"/>
      <c r="AR30" s="343"/>
      <c r="AS30" s="343"/>
      <c r="AT30" s="34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3">
      <c r="A31" s="84"/>
      <c r="B31" s="313"/>
      <c r="C31" s="313"/>
      <c r="D31" s="314"/>
      <c r="E31" s="305"/>
      <c r="F31" s="306"/>
      <c r="G31" s="306"/>
      <c r="H31" s="306"/>
      <c r="I31" s="311"/>
      <c r="J31" s="264"/>
      <c r="K31" s="265"/>
      <c r="L31" s="265"/>
      <c r="M31" s="265"/>
      <c r="N31" s="265"/>
      <c r="O31" s="266"/>
      <c r="P31" s="274"/>
      <c r="Q31" s="274"/>
      <c r="R31" s="274"/>
      <c r="S31" s="274"/>
      <c r="T31" s="274"/>
      <c r="U31" s="275"/>
      <c r="V31" s="273"/>
      <c r="W31" s="274"/>
      <c r="X31" s="274"/>
      <c r="Y31" s="274"/>
      <c r="Z31" s="274"/>
      <c r="AA31" s="275"/>
      <c r="AB31" s="291"/>
      <c r="AC31" s="292"/>
      <c r="AD31" s="292"/>
      <c r="AE31" s="292"/>
      <c r="AF31" s="292"/>
      <c r="AG31" s="294"/>
      <c r="AH31" s="282"/>
      <c r="AI31" s="283"/>
      <c r="AJ31" s="283"/>
      <c r="AK31" s="283"/>
      <c r="AL31" s="283"/>
      <c r="AM31" s="284"/>
      <c r="AN31" s="84"/>
      <c r="AO31" s="345"/>
      <c r="AP31" s="346"/>
      <c r="AQ31" s="346"/>
      <c r="AR31" s="346"/>
      <c r="AS31" s="346"/>
      <c r="AT31" s="347"/>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3">
      <c r="A32" s="84"/>
      <c r="B32" s="313"/>
      <c r="C32" s="313"/>
      <c r="D32" s="314"/>
      <c r="E32" s="305"/>
      <c r="F32" s="306"/>
      <c r="G32" s="306"/>
      <c r="H32" s="306"/>
      <c r="I32" s="311"/>
      <c r="J32" s="264" t="str">
        <f>IF(AND('Mapa final'!$J$29="Baja",'Mapa final'!$N$29="Leve"),CONCATENATE("R",'Mapa final'!$A$29),"")</f>
        <v/>
      </c>
      <c r="K32" s="265"/>
      <c r="L32" s="265" t="str">
        <f>IF(AND('Mapa final'!$J$35="Baja",'Mapa final'!$N$35="Leve"),CONCATENATE("R",'Mapa final'!$A$35),"")</f>
        <v/>
      </c>
      <c r="M32" s="265"/>
      <c r="N32" s="265" t="str">
        <f>IF(AND('Mapa final'!$J$41="Baja",'Mapa final'!$N$41="Leve"),CONCATENATE("R",'Mapa final'!$A$41),"")</f>
        <v/>
      </c>
      <c r="O32" s="266"/>
      <c r="P32" s="274" t="str">
        <f>IF(AND('Mapa final'!$J$29="Baja",'Mapa final'!$N$29="Menor"),CONCATENATE("R",'Mapa final'!$A$29),"")</f>
        <v/>
      </c>
      <c r="Q32" s="274"/>
      <c r="R32" s="274" t="str">
        <f>IF(AND('Mapa final'!$J$35="Baja",'Mapa final'!$N$35="Menor"),CONCATENATE("R",'Mapa final'!$A$35),"")</f>
        <v/>
      </c>
      <c r="S32" s="274"/>
      <c r="T32" s="274" t="str">
        <f>IF(AND('Mapa final'!$J$41="Baja",'Mapa final'!$N$41="Menor"),CONCATENATE("R",'Mapa final'!$A$41),"")</f>
        <v/>
      </c>
      <c r="U32" s="275"/>
      <c r="V32" s="273" t="str">
        <f>IF(AND('Mapa final'!$J$29="Baja",'Mapa final'!$N$29="Moderado"),CONCATENATE("R",'Mapa final'!$A$29),"")</f>
        <v/>
      </c>
      <c r="W32" s="274"/>
      <c r="X32" s="274" t="str">
        <f>IF(AND('Mapa final'!$J$35="Baja",'Mapa final'!$N$35="Moderado"),CONCATENATE("R",'Mapa final'!$A$35),"")</f>
        <v/>
      </c>
      <c r="Y32" s="274"/>
      <c r="Z32" s="274" t="str">
        <f>IF(AND('Mapa final'!$J$41="Baja",'Mapa final'!$N$41="Moderado"),CONCATENATE("R",'Mapa final'!$A$41),"")</f>
        <v/>
      </c>
      <c r="AA32" s="275"/>
      <c r="AB32" s="291" t="str">
        <f>IF(AND('Mapa final'!$J$29="Baja",'Mapa final'!$N$29="Mayor"),CONCATENATE("R",'Mapa final'!$A$29),"")</f>
        <v/>
      </c>
      <c r="AC32" s="292"/>
      <c r="AD32" s="293" t="str">
        <f>IF(AND('Mapa final'!$J$35="Baja",'Mapa final'!$N$35="Mayor"),CONCATENATE("R",'Mapa final'!$A$35),"")</f>
        <v/>
      </c>
      <c r="AE32" s="293"/>
      <c r="AF32" s="293" t="str">
        <f>IF(AND('Mapa final'!$J$41="Baja",'Mapa final'!$N$41="Mayor"),CONCATENATE("R",'Mapa final'!$A$41),"")</f>
        <v/>
      </c>
      <c r="AG32" s="294"/>
      <c r="AH32" s="282" t="str">
        <f>IF(AND('Mapa final'!$J$29="Baja",'Mapa final'!$N$29="Catastrófico"),CONCATENATE("R",'Mapa final'!$A$29),"")</f>
        <v/>
      </c>
      <c r="AI32" s="283"/>
      <c r="AJ32" s="283" t="str">
        <f>IF(AND('Mapa final'!$J$35="Baja",'Mapa final'!$N$35="Catastrófico"),CONCATENATE("R",'Mapa final'!$A$35),"")</f>
        <v/>
      </c>
      <c r="AK32" s="283"/>
      <c r="AL32" s="283" t="str">
        <f>IF(AND('Mapa final'!$J$41="Baja",'Mapa final'!$N$41="Catastrófico"),CONCATENATE("R",'Mapa final'!$A$41),"")</f>
        <v/>
      </c>
      <c r="AM32" s="284"/>
      <c r="AN32" s="84"/>
      <c r="AO32" s="345"/>
      <c r="AP32" s="346"/>
      <c r="AQ32" s="346"/>
      <c r="AR32" s="346"/>
      <c r="AS32" s="346"/>
      <c r="AT32" s="347"/>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3">
      <c r="A33" s="84"/>
      <c r="B33" s="313"/>
      <c r="C33" s="313"/>
      <c r="D33" s="314"/>
      <c r="E33" s="305"/>
      <c r="F33" s="306"/>
      <c r="G33" s="306"/>
      <c r="H33" s="306"/>
      <c r="I33" s="311"/>
      <c r="J33" s="264"/>
      <c r="K33" s="265"/>
      <c r="L33" s="265"/>
      <c r="M33" s="265"/>
      <c r="N33" s="265"/>
      <c r="O33" s="266"/>
      <c r="P33" s="274"/>
      <c r="Q33" s="274"/>
      <c r="R33" s="274"/>
      <c r="S33" s="274"/>
      <c r="T33" s="274"/>
      <c r="U33" s="275"/>
      <c r="V33" s="273"/>
      <c r="W33" s="274"/>
      <c r="X33" s="274"/>
      <c r="Y33" s="274"/>
      <c r="Z33" s="274"/>
      <c r="AA33" s="275"/>
      <c r="AB33" s="291"/>
      <c r="AC33" s="292"/>
      <c r="AD33" s="293"/>
      <c r="AE33" s="293"/>
      <c r="AF33" s="293"/>
      <c r="AG33" s="294"/>
      <c r="AH33" s="282"/>
      <c r="AI33" s="283"/>
      <c r="AJ33" s="283"/>
      <c r="AK33" s="283"/>
      <c r="AL33" s="283"/>
      <c r="AM33" s="284"/>
      <c r="AN33" s="84"/>
      <c r="AO33" s="345"/>
      <c r="AP33" s="346"/>
      <c r="AQ33" s="346"/>
      <c r="AR33" s="346"/>
      <c r="AS33" s="346"/>
      <c r="AT33" s="347"/>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3">
      <c r="A34" s="84"/>
      <c r="B34" s="313"/>
      <c r="C34" s="313"/>
      <c r="D34" s="314"/>
      <c r="E34" s="305"/>
      <c r="F34" s="306"/>
      <c r="G34" s="306"/>
      <c r="H34" s="306"/>
      <c r="I34" s="311"/>
      <c r="J34" s="264" t="str">
        <f>IF(AND('Mapa final'!$J$47="Baja",'Mapa final'!$N$47="Leve"),CONCATENATE("R",'Mapa final'!$A$47),"")</f>
        <v/>
      </c>
      <c r="K34" s="265"/>
      <c r="L34" s="265" t="str">
        <f>IF(AND('Mapa final'!$J$53="Baja",'Mapa final'!$N$53="Leve"),CONCATENATE("R",'Mapa final'!$A$53),"")</f>
        <v/>
      </c>
      <c r="M34" s="265"/>
      <c r="N34" s="265" t="str">
        <f>IF(AND('Mapa final'!$J$59="Baja",'Mapa final'!$N$59="Leve"),CONCATENATE("R",'Mapa final'!$A$59),"")</f>
        <v/>
      </c>
      <c r="O34" s="266"/>
      <c r="P34" s="274" t="str">
        <f>IF(AND('Mapa final'!$J$47="Baja",'Mapa final'!$N$47="Menor"),CONCATENATE("R",'Mapa final'!$A$47),"")</f>
        <v/>
      </c>
      <c r="Q34" s="274"/>
      <c r="R34" s="274" t="str">
        <f>IF(AND('Mapa final'!$J$53="Baja",'Mapa final'!$N$53="Menor"),CONCATENATE("R",'Mapa final'!$A$53),"")</f>
        <v/>
      </c>
      <c r="S34" s="274"/>
      <c r="T34" s="274" t="str">
        <f>IF(AND('Mapa final'!$J$59="Baja",'Mapa final'!$N$59="Menor"),CONCATENATE("R",'Mapa final'!$A$59),"")</f>
        <v/>
      </c>
      <c r="U34" s="275"/>
      <c r="V34" s="273" t="str">
        <f>IF(AND('Mapa final'!$J$47="Baja",'Mapa final'!$N$47="Moderado"),CONCATENATE("R",'Mapa final'!$A$47),"")</f>
        <v/>
      </c>
      <c r="W34" s="274"/>
      <c r="X34" s="274" t="str">
        <f>IF(AND('Mapa final'!$J$53="Baja",'Mapa final'!$N$53="Moderado"),CONCATENATE("R",'Mapa final'!$A$53),"")</f>
        <v/>
      </c>
      <c r="Y34" s="274"/>
      <c r="Z34" s="274" t="str">
        <f>IF(AND('Mapa final'!$J$59="Baja",'Mapa final'!$N$59="Moderado"),CONCATENATE("R",'Mapa final'!$A$59),"")</f>
        <v/>
      </c>
      <c r="AA34" s="275"/>
      <c r="AB34" s="291" t="str">
        <f>IF(AND('Mapa final'!$J$47="Baja",'Mapa final'!$N$47="Mayor"),CONCATENATE("R",'Mapa final'!$A$47),"")</f>
        <v/>
      </c>
      <c r="AC34" s="292"/>
      <c r="AD34" s="293" t="str">
        <f>IF(AND('Mapa final'!$J$53="Baja",'Mapa final'!$N$53="Mayor"),CONCATENATE("R",'Mapa final'!$A$53),"")</f>
        <v/>
      </c>
      <c r="AE34" s="293"/>
      <c r="AF34" s="293" t="str">
        <f>IF(AND('Mapa final'!$J$59="Baja",'Mapa final'!$N$59="Mayor"),CONCATENATE("R",'Mapa final'!$A$59),"")</f>
        <v/>
      </c>
      <c r="AG34" s="294"/>
      <c r="AH34" s="282" t="str">
        <f>IF(AND('Mapa final'!$J$47="Baja",'Mapa final'!$N$47="Catastrófico"),CONCATENATE("R",'Mapa final'!$A$47),"")</f>
        <v/>
      </c>
      <c r="AI34" s="283"/>
      <c r="AJ34" s="283" t="str">
        <f>IF(AND('Mapa final'!$J$53="Baja",'Mapa final'!$N$53="Catastrófico"),CONCATENATE("R",'Mapa final'!$A$53),"")</f>
        <v/>
      </c>
      <c r="AK34" s="283"/>
      <c r="AL34" s="283" t="str">
        <f>IF(AND('Mapa final'!$J$59="Baja",'Mapa final'!$N$59="Catastrófico"),CONCATENATE("R",'Mapa final'!$A$59),"")</f>
        <v/>
      </c>
      <c r="AM34" s="284"/>
      <c r="AN34" s="84"/>
      <c r="AO34" s="345"/>
      <c r="AP34" s="346"/>
      <c r="AQ34" s="346"/>
      <c r="AR34" s="346"/>
      <c r="AS34" s="346"/>
      <c r="AT34" s="347"/>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3">
      <c r="A35" s="84"/>
      <c r="B35" s="313"/>
      <c r="C35" s="313"/>
      <c r="D35" s="314"/>
      <c r="E35" s="305"/>
      <c r="F35" s="306"/>
      <c r="G35" s="306"/>
      <c r="H35" s="306"/>
      <c r="I35" s="311"/>
      <c r="J35" s="264"/>
      <c r="K35" s="265"/>
      <c r="L35" s="265"/>
      <c r="M35" s="265"/>
      <c r="N35" s="265"/>
      <c r="O35" s="266"/>
      <c r="P35" s="274"/>
      <c r="Q35" s="274"/>
      <c r="R35" s="274"/>
      <c r="S35" s="274"/>
      <c r="T35" s="274"/>
      <c r="U35" s="275"/>
      <c r="V35" s="273"/>
      <c r="W35" s="274"/>
      <c r="X35" s="274"/>
      <c r="Y35" s="274"/>
      <c r="Z35" s="274"/>
      <c r="AA35" s="275"/>
      <c r="AB35" s="291"/>
      <c r="AC35" s="292"/>
      <c r="AD35" s="293"/>
      <c r="AE35" s="293"/>
      <c r="AF35" s="293"/>
      <c r="AG35" s="294"/>
      <c r="AH35" s="282"/>
      <c r="AI35" s="283"/>
      <c r="AJ35" s="283"/>
      <c r="AK35" s="283"/>
      <c r="AL35" s="283"/>
      <c r="AM35" s="284"/>
      <c r="AN35" s="84"/>
      <c r="AO35" s="345"/>
      <c r="AP35" s="346"/>
      <c r="AQ35" s="346"/>
      <c r="AR35" s="346"/>
      <c r="AS35" s="346"/>
      <c r="AT35" s="347"/>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3">
      <c r="A36" s="84"/>
      <c r="B36" s="313"/>
      <c r="C36" s="313"/>
      <c r="D36" s="314"/>
      <c r="E36" s="305"/>
      <c r="F36" s="306"/>
      <c r="G36" s="306"/>
      <c r="H36" s="306"/>
      <c r="I36" s="311"/>
      <c r="J36" s="264" t="str">
        <f>IF(AND('Mapa final'!$J$65="Baja",'Mapa final'!$N$65="Leve"),CONCATENATE("R",'Mapa final'!$A$65),"")</f>
        <v/>
      </c>
      <c r="K36" s="265"/>
      <c r="L36" s="265" t="str">
        <f>IF(AND('Mapa final'!$J$71="Baja",'Mapa final'!$N$71="Leve"),CONCATENATE("R",'Mapa final'!$A$71),"")</f>
        <v/>
      </c>
      <c r="M36" s="265"/>
      <c r="N36" s="265" t="str">
        <f>IF(AND('Mapa final'!$J$77="Baja",'Mapa final'!$N$77="Leve"),CONCATENATE("R",'Mapa final'!$A$77),"")</f>
        <v/>
      </c>
      <c r="O36" s="266"/>
      <c r="P36" s="274" t="str">
        <f>IF(AND('Mapa final'!$J$65="Baja",'Mapa final'!$N$65="Menor"),CONCATENATE("R",'Mapa final'!$A$65),"")</f>
        <v/>
      </c>
      <c r="Q36" s="274"/>
      <c r="R36" s="274" t="str">
        <f>IF(AND('Mapa final'!$J$71="Baja",'Mapa final'!$N$71="Menor"),CONCATENATE("R",'Mapa final'!$A$71),"")</f>
        <v/>
      </c>
      <c r="S36" s="274"/>
      <c r="T36" s="274" t="str">
        <f>IF(AND('Mapa final'!$J$77="Baja",'Mapa final'!$N$77="Menor"),CONCATENATE("R",'Mapa final'!$A$77),"")</f>
        <v/>
      </c>
      <c r="U36" s="275"/>
      <c r="V36" s="273" t="str">
        <f>IF(AND('Mapa final'!$J$65="Baja",'Mapa final'!$N$65="Moderado"),CONCATENATE("R",'Mapa final'!$A$65),"")</f>
        <v/>
      </c>
      <c r="W36" s="274"/>
      <c r="X36" s="274" t="str">
        <f>IF(AND('Mapa final'!$J$71="Baja",'Mapa final'!$N$71="Moderado"),CONCATENATE("R",'Mapa final'!$A$71),"")</f>
        <v/>
      </c>
      <c r="Y36" s="274"/>
      <c r="Z36" s="274" t="str">
        <f>IF(AND('Mapa final'!$J$77="Baja",'Mapa final'!$N$77="Moderado"),CONCATENATE("R",'Mapa final'!$A$77),"")</f>
        <v/>
      </c>
      <c r="AA36" s="275"/>
      <c r="AB36" s="291" t="str">
        <f>IF(AND('Mapa final'!$J$65="Baja",'Mapa final'!$N$65="Mayor"),CONCATENATE("R",'Mapa final'!$A$65),"")</f>
        <v/>
      </c>
      <c r="AC36" s="292"/>
      <c r="AD36" s="293" t="str">
        <f>IF(AND('Mapa final'!$J$71="Baja",'Mapa final'!$N$71="Mayor"),CONCATENATE("R",'Mapa final'!$A$71),"")</f>
        <v/>
      </c>
      <c r="AE36" s="293"/>
      <c r="AF36" s="293" t="str">
        <f>IF(AND('Mapa final'!$J$77="Baja",'Mapa final'!$N$77="Mayor"),CONCATENATE("R",'Mapa final'!$A$77),"")</f>
        <v/>
      </c>
      <c r="AG36" s="294"/>
      <c r="AH36" s="282" t="str">
        <f>IF(AND('Mapa final'!$J$65="Baja",'Mapa final'!$N$65="Catastrófico"),CONCATENATE("R",'Mapa final'!$A$65),"")</f>
        <v/>
      </c>
      <c r="AI36" s="283"/>
      <c r="AJ36" s="283" t="str">
        <f>IF(AND('Mapa final'!$J$71="Baja",'Mapa final'!$N$71="Catastrófico"),CONCATENATE("R",'Mapa final'!$A$71),"")</f>
        <v/>
      </c>
      <c r="AK36" s="283"/>
      <c r="AL36" s="283" t="str">
        <f>IF(AND('Mapa final'!$J$77="Baja",'Mapa final'!$N$77="Catastrófico"),CONCATENATE("R",'Mapa final'!$A$77),"")</f>
        <v/>
      </c>
      <c r="AM36" s="284"/>
      <c r="AN36" s="84"/>
      <c r="AO36" s="345"/>
      <c r="AP36" s="346"/>
      <c r="AQ36" s="346"/>
      <c r="AR36" s="346"/>
      <c r="AS36" s="346"/>
      <c r="AT36" s="347"/>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 thickBot="1" x14ac:dyDescent="0.35">
      <c r="A37" s="84"/>
      <c r="B37" s="313"/>
      <c r="C37" s="313"/>
      <c r="D37" s="314"/>
      <c r="E37" s="308"/>
      <c r="F37" s="309"/>
      <c r="G37" s="309"/>
      <c r="H37" s="309"/>
      <c r="I37" s="309"/>
      <c r="J37" s="267"/>
      <c r="K37" s="268"/>
      <c r="L37" s="268"/>
      <c r="M37" s="268"/>
      <c r="N37" s="268"/>
      <c r="O37" s="269"/>
      <c r="P37" s="277"/>
      <c r="Q37" s="277"/>
      <c r="R37" s="277"/>
      <c r="S37" s="277"/>
      <c r="T37" s="277"/>
      <c r="U37" s="278"/>
      <c r="V37" s="276"/>
      <c r="W37" s="277"/>
      <c r="X37" s="277"/>
      <c r="Y37" s="277"/>
      <c r="Z37" s="277"/>
      <c r="AA37" s="278"/>
      <c r="AB37" s="295"/>
      <c r="AC37" s="296"/>
      <c r="AD37" s="296"/>
      <c r="AE37" s="296"/>
      <c r="AF37" s="296"/>
      <c r="AG37" s="297"/>
      <c r="AH37" s="285"/>
      <c r="AI37" s="286"/>
      <c r="AJ37" s="286"/>
      <c r="AK37" s="286"/>
      <c r="AL37" s="286"/>
      <c r="AM37" s="287"/>
      <c r="AN37" s="84"/>
      <c r="AO37" s="348"/>
      <c r="AP37" s="349"/>
      <c r="AQ37" s="349"/>
      <c r="AR37" s="349"/>
      <c r="AS37" s="349"/>
      <c r="AT37" s="350"/>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3">
      <c r="A38" s="84"/>
      <c r="B38" s="313"/>
      <c r="C38" s="313"/>
      <c r="D38" s="314"/>
      <c r="E38" s="302" t="s">
        <v>105</v>
      </c>
      <c r="F38" s="303"/>
      <c r="G38" s="303"/>
      <c r="H38" s="303"/>
      <c r="I38" s="304"/>
      <c r="J38" s="270" t="str">
        <f>IF(AND('Mapa final'!$J$11="Muy Baja",'Mapa final'!$N$11="Leve"),CONCATENATE("R",'Mapa final'!$A$11),"")</f>
        <v/>
      </c>
      <c r="K38" s="271"/>
      <c r="L38" s="271" t="str">
        <f>IF(AND('Mapa final'!$J$17="Muy Baja",'Mapa final'!$N$17="Leve"),CONCATENATE("R",'Mapa final'!$A$17),"")</f>
        <v/>
      </c>
      <c r="M38" s="271"/>
      <c r="N38" s="271" t="str">
        <f>IF(AND('Mapa final'!$J$23="Muy Baja",'Mapa final'!$N$23="Leve"),CONCATENATE("R",'Mapa final'!$A$23),"")</f>
        <v/>
      </c>
      <c r="O38" s="272"/>
      <c r="P38" s="270" t="str">
        <f>IF(AND('Mapa final'!$J$11="Muy Baja",'Mapa final'!$N$11="Menor"),CONCATENATE("R",'Mapa final'!$A$11),"")</f>
        <v/>
      </c>
      <c r="Q38" s="271"/>
      <c r="R38" s="271" t="str">
        <f>IF(AND('Mapa final'!$J$17="Muy Baja",'Mapa final'!$N$17="Menor"),CONCATENATE("R",'Mapa final'!$A$17),"")</f>
        <v/>
      </c>
      <c r="S38" s="271"/>
      <c r="T38" s="271" t="str">
        <f>IF(AND('Mapa final'!$J$23="Muy Baja",'Mapa final'!$N$23="Menor"),CONCATENATE("R",'Mapa final'!$A$23),"")</f>
        <v/>
      </c>
      <c r="U38" s="272"/>
      <c r="V38" s="279" t="str">
        <f>IF(AND('Mapa final'!$J$11="Muy Baja",'Mapa final'!$N$11="Moderado"),CONCATENATE("R",'Mapa final'!$A$11),"")</f>
        <v>R1</v>
      </c>
      <c r="W38" s="280"/>
      <c r="X38" s="280" t="str">
        <f>IF(AND('Mapa final'!$J$17="Muy Baja",'Mapa final'!$N$17="Moderado"),CONCATENATE("R",'Mapa final'!$A$17),"")</f>
        <v>R2</v>
      </c>
      <c r="Y38" s="280"/>
      <c r="Z38" s="280" t="str">
        <f>IF(AND('Mapa final'!$J$23="Muy Baja",'Mapa final'!$N$23="Moderado"),CONCATENATE("R",'Mapa final'!$A$23),"")</f>
        <v/>
      </c>
      <c r="AA38" s="281"/>
      <c r="AB38" s="298" t="str">
        <f>IF(AND('Mapa final'!$J$11="Muy Baja",'Mapa final'!$N$11="Mayor"),CONCATENATE("R",'Mapa final'!$A$11),"")</f>
        <v/>
      </c>
      <c r="AC38" s="299"/>
      <c r="AD38" s="299" t="str">
        <f>IF(AND('Mapa final'!$J$17="Muy Baja",'Mapa final'!$N$17="Mayor"),CONCATENATE("R",'Mapa final'!$A$17),"")</f>
        <v/>
      </c>
      <c r="AE38" s="299"/>
      <c r="AF38" s="299" t="str">
        <f>IF(AND('Mapa final'!$J$23="Muy Baja",'Mapa final'!$N$23="Mayor"),CONCATENATE("R",'Mapa final'!$A$23),"")</f>
        <v/>
      </c>
      <c r="AG38" s="300"/>
      <c r="AH38" s="288" t="str">
        <f>IF(AND('Mapa final'!$J$11="Muy Baja",'Mapa final'!$N$11="Catastrófico"),CONCATENATE("R",'Mapa final'!$A$11),"")</f>
        <v/>
      </c>
      <c r="AI38" s="289"/>
      <c r="AJ38" s="289" t="str">
        <f>IF(AND('Mapa final'!$J$17="Muy Baja",'Mapa final'!$N$17="Catastrófico"),CONCATENATE("R",'Mapa final'!$A$17),"")</f>
        <v/>
      </c>
      <c r="AK38" s="289"/>
      <c r="AL38" s="289" t="str">
        <f>IF(AND('Mapa final'!$J$23="Muy Baja",'Mapa final'!$N$23="Catastrófico"),CONCATENATE("R",'Mapa final'!$A$23),"")</f>
        <v/>
      </c>
      <c r="AM38" s="290"/>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3">
      <c r="A39" s="84"/>
      <c r="B39" s="313"/>
      <c r="C39" s="313"/>
      <c r="D39" s="314"/>
      <c r="E39" s="305"/>
      <c r="F39" s="306"/>
      <c r="G39" s="306"/>
      <c r="H39" s="306"/>
      <c r="I39" s="307"/>
      <c r="J39" s="264"/>
      <c r="K39" s="265"/>
      <c r="L39" s="265"/>
      <c r="M39" s="265"/>
      <c r="N39" s="265"/>
      <c r="O39" s="266"/>
      <c r="P39" s="264"/>
      <c r="Q39" s="265"/>
      <c r="R39" s="265"/>
      <c r="S39" s="265"/>
      <c r="T39" s="265"/>
      <c r="U39" s="266"/>
      <c r="V39" s="273"/>
      <c r="W39" s="274"/>
      <c r="X39" s="274"/>
      <c r="Y39" s="274"/>
      <c r="Z39" s="274"/>
      <c r="AA39" s="275"/>
      <c r="AB39" s="291"/>
      <c r="AC39" s="292"/>
      <c r="AD39" s="292"/>
      <c r="AE39" s="292"/>
      <c r="AF39" s="292"/>
      <c r="AG39" s="294"/>
      <c r="AH39" s="282"/>
      <c r="AI39" s="283"/>
      <c r="AJ39" s="283"/>
      <c r="AK39" s="283"/>
      <c r="AL39" s="283"/>
      <c r="AM39" s="2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3">
      <c r="A40" s="84"/>
      <c r="B40" s="313"/>
      <c r="C40" s="313"/>
      <c r="D40" s="314"/>
      <c r="E40" s="305"/>
      <c r="F40" s="306"/>
      <c r="G40" s="306"/>
      <c r="H40" s="306"/>
      <c r="I40" s="307"/>
      <c r="J40" s="264" t="str">
        <f>IF(AND('Mapa final'!$J$29="Muy Baja",'Mapa final'!$N$29="Leve"),CONCATENATE("R",'Mapa final'!$A$29),"")</f>
        <v/>
      </c>
      <c r="K40" s="265"/>
      <c r="L40" s="265" t="str">
        <f>IF(AND('Mapa final'!$J$35="Muy Baja",'Mapa final'!$N$35="Leve"),CONCATENATE("R",'Mapa final'!$A$35),"")</f>
        <v/>
      </c>
      <c r="M40" s="265"/>
      <c r="N40" s="265" t="str">
        <f>IF(AND('Mapa final'!$J$41="Muy Baja",'Mapa final'!$N$41="Leve"),CONCATENATE("R",'Mapa final'!$A$41),"")</f>
        <v/>
      </c>
      <c r="O40" s="266"/>
      <c r="P40" s="264" t="str">
        <f>IF(AND('Mapa final'!$J$29="Muy Baja",'Mapa final'!$N$29="Menor"),CONCATENATE("R",'Mapa final'!$A$29),"")</f>
        <v/>
      </c>
      <c r="Q40" s="265"/>
      <c r="R40" s="265" t="str">
        <f>IF(AND('Mapa final'!$J$35="Muy Baja",'Mapa final'!$N$35="Menor"),CONCATENATE("R",'Mapa final'!$A$35),"")</f>
        <v/>
      </c>
      <c r="S40" s="265"/>
      <c r="T40" s="265" t="str">
        <f>IF(AND('Mapa final'!$J$41="Muy Baja",'Mapa final'!$N$41="Menor"),CONCATENATE("R",'Mapa final'!$A$41),"")</f>
        <v/>
      </c>
      <c r="U40" s="266"/>
      <c r="V40" s="273" t="str">
        <f>IF(AND('Mapa final'!$J$29="Muy Baja",'Mapa final'!$N$29="Moderado"),CONCATENATE("R",'Mapa final'!$A$29),"")</f>
        <v/>
      </c>
      <c r="W40" s="274"/>
      <c r="X40" s="274" t="str">
        <f>IF(AND('Mapa final'!$J$35="Muy Baja",'Mapa final'!$N$35="Moderado"),CONCATENATE("R",'Mapa final'!$A$35),"")</f>
        <v/>
      </c>
      <c r="Y40" s="274"/>
      <c r="Z40" s="274" t="str">
        <f>IF(AND('Mapa final'!$J$41="Muy Baja",'Mapa final'!$N$41="Moderado"),CONCATENATE("R",'Mapa final'!$A$41),"")</f>
        <v/>
      </c>
      <c r="AA40" s="275"/>
      <c r="AB40" s="291" t="str">
        <f>IF(AND('Mapa final'!$J$29="Muy Baja",'Mapa final'!$N$29="Mayor"),CONCATENATE("R",'Mapa final'!$A$29),"")</f>
        <v/>
      </c>
      <c r="AC40" s="292"/>
      <c r="AD40" s="293" t="str">
        <f>IF(AND('Mapa final'!$J$35="Muy Baja",'Mapa final'!$N$35="Mayor"),CONCATENATE("R",'Mapa final'!$A$35),"")</f>
        <v/>
      </c>
      <c r="AE40" s="293"/>
      <c r="AF40" s="293" t="str">
        <f>IF(AND('Mapa final'!$J$41="Muy Baja",'Mapa final'!$N$41="Mayor"),CONCATENATE("R",'Mapa final'!$A$41),"")</f>
        <v/>
      </c>
      <c r="AG40" s="294"/>
      <c r="AH40" s="282" t="str">
        <f>IF(AND('Mapa final'!$J$29="Muy Baja",'Mapa final'!$N$29="Catastrófico"),CONCATENATE("R",'Mapa final'!$A$29),"")</f>
        <v/>
      </c>
      <c r="AI40" s="283"/>
      <c r="AJ40" s="283" t="str">
        <f>IF(AND('Mapa final'!$J$35="Muy Baja",'Mapa final'!$N$35="Catastrófico"),CONCATENATE("R",'Mapa final'!$A$35),"")</f>
        <v/>
      </c>
      <c r="AK40" s="283"/>
      <c r="AL40" s="283" t="str">
        <f>IF(AND('Mapa final'!$J$41="Muy Baja",'Mapa final'!$N$41="Catastrófico"),CONCATENATE("R",'Mapa final'!$A$41),"")</f>
        <v/>
      </c>
      <c r="AM40" s="284"/>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3">
      <c r="A41" s="84"/>
      <c r="B41" s="313"/>
      <c r="C41" s="313"/>
      <c r="D41" s="314"/>
      <c r="E41" s="305"/>
      <c r="F41" s="306"/>
      <c r="G41" s="306"/>
      <c r="H41" s="306"/>
      <c r="I41" s="307"/>
      <c r="J41" s="264"/>
      <c r="K41" s="265"/>
      <c r="L41" s="265"/>
      <c r="M41" s="265"/>
      <c r="N41" s="265"/>
      <c r="O41" s="266"/>
      <c r="P41" s="264"/>
      <c r="Q41" s="265"/>
      <c r="R41" s="265"/>
      <c r="S41" s="265"/>
      <c r="T41" s="265"/>
      <c r="U41" s="266"/>
      <c r="V41" s="273"/>
      <c r="W41" s="274"/>
      <c r="X41" s="274"/>
      <c r="Y41" s="274"/>
      <c r="Z41" s="274"/>
      <c r="AA41" s="275"/>
      <c r="AB41" s="291"/>
      <c r="AC41" s="292"/>
      <c r="AD41" s="293"/>
      <c r="AE41" s="293"/>
      <c r="AF41" s="293"/>
      <c r="AG41" s="294"/>
      <c r="AH41" s="282"/>
      <c r="AI41" s="283"/>
      <c r="AJ41" s="283"/>
      <c r="AK41" s="283"/>
      <c r="AL41" s="283"/>
      <c r="AM41" s="284"/>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3">
      <c r="A42" s="84"/>
      <c r="B42" s="313"/>
      <c r="C42" s="313"/>
      <c r="D42" s="314"/>
      <c r="E42" s="305"/>
      <c r="F42" s="306"/>
      <c r="G42" s="306"/>
      <c r="H42" s="306"/>
      <c r="I42" s="307"/>
      <c r="J42" s="264" t="str">
        <f>IF(AND('Mapa final'!$J$47="Muy Baja",'Mapa final'!$N$47="Leve"),CONCATENATE("R",'Mapa final'!$A$47),"")</f>
        <v/>
      </c>
      <c r="K42" s="265"/>
      <c r="L42" s="265" t="str">
        <f>IF(AND('Mapa final'!$J$53="Muy Baja",'Mapa final'!$N$53="Leve"),CONCATENATE("R",'Mapa final'!$A$53),"")</f>
        <v/>
      </c>
      <c r="M42" s="265"/>
      <c r="N42" s="265" t="str">
        <f>IF(AND('Mapa final'!$J$59="Muy Baja",'Mapa final'!$N$59="Leve"),CONCATENATE("R",'Mapa final'!$A$59),"")</f>
        <v/>
      </c>
      <c r="O42" s="266"/>
      <c r="P42" s="264" t="str">
        <f>IF(AND('Mapa final'!$J$47="Muy Baja",'Mapa final'!$N$47="Menor"),CONCATENATE("R",'Mapa final'!$A$47),"")</f>
        <v/>
      </c>
      <c r="Q42" s="265"/>
      <c r="R42" s="265" t="str">
        <f>IF(AND('Mapa final'!$J$53="Muy Baja",'Mapa final'!$N$53="Menor"),CONCATENATE("R",'Mapa final'!$A$53),"")</f>
        <v/>
      </c>
      <c r="S42" s="265"/>
      <c r="T42" s="265" t="str">
        <f>IF(AND('Mapa final'!$J$59="Muy Baja",'Mapa final'!$N$59="Menor"),CONCATENATE("R",'Mapa final'!$A$59),"")</f>
        <v/>
      </c>
      <c r="U42" s="266"/>
      <c r="V42" s="273" t="str">
        <f>IF(AND('Mapa final'!$J$47="Muy Baja",'Mapa final'!$N$47="Moderado"),CONCATENATE("R",'Mapa final'!$A$47),"")</f>
        <v/>
      </c>
      <c r="W42" s="274"/>
      <c r="X42" s="274" t="str">
        <f>IF(AND('Mapa final'!$J$53="Muy Baja",'Mapa final'!$N$53="Moderado"),CONCATENATE("R",'Mapa final'!$A$53),"")</f>
        <v/>
      </c>
      <c r="Y42" s="274"/>
      <c r="Z42" s="274" t="str">
        <f>IF(AND('Mapa final'!$J$59="Muy Baja",'Mapa final'!$N$59="Moderado"),CONCATENATE("R",'Mapa final'!$A$59),"")</f>
        <v/>
      </c>
      <c r="AA42" s="275"/>
      <c r="AB42" s="291" t="str">
        <f>IF(AND('Mapa final'!$J$47="Muy Baja",'Mapa final'!$N$47="Mayor"),CONCATENATE("R",'Mapa final'!$A$47),"")</f>
        <v/>
      </c>
      <c r="AC42" s="292"/>
      <c r="AD42" s="293" t="str">
        <f>IF(AND('Mapa final'!$J$53="Muy Baja",'Mapa final'!$N$53="Mayor"),CONCATENATE("R",'Mapa final'!$A$53),"")</f>
        <v/>
      </c>
      <c r="AE42" s="293"/>
      <c r="AF42" s="293" t="str">
        <f>IF(AND('Mapa final'!$J$59="Muy Baja",'Mapa final'!$N$59="Mayor"),CONCATENATE("R",'Mapa final'!$A$59),"")</f>
        <v/>
      </c>
      <c r="AG42" s="294"/>
      <c r="AH42" s="282" t="str">
        <f>IF(AND('Mapa final'!$J$47="Muy Baja",'Mapa final'!$N$47="Catastrófico"),CONCATENATE("R",'Mapa final'!$A$47),"")</f>
        <v/>
      </c>
      <c r="AI42" s="283"/>
      <c r="AJ42" s="283" t="str">
        <f>IF(AND('Mapa final'!$J$53="Muy Baja",'Mapa final'!$N$53="Catastrófico"),CONCATENATE("R",'Mapa final'!$A$53),"")</f>
        <v/>
      </c>
      <c r="AK42" s="283"/>
      <c r="AL42" s="283" t="str">
        <f>IF(AND('Mapa final'!$J$59="Muy Baja",'Mapa final'!$N$59="Catastrófico"),CONCATENATE("R",'Mapa final'!$A$59),"")</f>
        <v/>
      </c>
      <c r="AM42" s="284"/>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3">
      <c r="A43" s="84"/>
      <c r="B43" s="313"/>
      <c r="C43" s="313"/>
      <c r="D43" s="314"/>
      <c r="E43" s="305"/>
      <c r="F43" s="306"/>
      <c r="G43" s="306"/>
      <c r="H43" s="306"/>
      <c r="I43" s="307"/>
      <c r="J43" s="264"/>
      <c r="K43" s="265"/>
      <c r="L43" s="265"/>
      <c r="M43" s="265"/>
      <c r="N43" s="265"/>
      <c r="O43" s="266"/>
      <c r="P43" s="264"/>
      <c r="Q43" s="265"/>
      <c r="R43" s="265"/>
      <c r="S43" s="265"/>
      <c r="T43" s="265"/>
      <c r="U43" s="266"/>
      <c r="V43" s="273"/>
      <c r="W43" s="274"/>
      <c r="X43" s="274"/>
      <c r="Y43" s="274"/>
      <c r="Z43" s="274"/>
      <c r="AA43" s="275"/>
      <c r="AB43" s="291"/>
      <c r="AC43" s="292"/>
      <c r="AD43" s="293"/>
      <c r="AE43" s="293"/>
      <c r="AF43" s="293"/>
      <c r="AG43" s="294"/>
      <c r="AH43" s="282"/>
      <c r="AI43" s="283"/>
      <c r="AJ43" s="283"/>
      <c r="AK43" s="283"/>
      <c r="AL43" s="283"/>
      <c r="AM43" s="2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3">
      <c r="A44" s="84"/>
      <c r="B44" s="313"/>
      <c r="C44" s="313"/>
      <c r="D44" s="314"/>
      <c r="E44" s="305"/>
      <c r="F44" s="306"/>
      <c r="G44" s="306"/>
      <c r="H44" s="306"/>
      <c r="I44" s="307"/>
      <c r="J44" s="264" t="str">
        <f>IF(AND('Mapa final'!$J$65="Muy Baja",'Mapa final'!$N$65="Leve"),CONCATENATE("R",'Mapa final'!$A$65),"")</f>
        <v/>
      </c>
      <c r="K44" s="265"/>
      <c r="L44" s="265" t="str">
        <f>IF(AND('Mapa final'!$J$71="Muy Baja",'Mapa final'!$N$71="Leve"),CONCATENATE("R",'Mapa final'!$A$71),"")</f>
        <v/>
      </c>
      <c r="M44" s="265"/>
      <c r="N44" s="265" t="str">
        <f>IF(AND('Mapa final'!$J$77="Muy Baja",'Mapa final'!$N$77="Leve"),CONCATENATE("R",'Mapa final'!$A$77),"")</f>
        <v/>
      </c>
      <c r="O44" s="266"/>
      <c r="P44" s="264" t="str">
        <f>IF(AND('Mapa final'!$J$65="Muy Baja",'Mapa final'!$N$65="Menor"),CONCATENATE("R",'Mapa final'!$A$65),"")</f>
        <v/>
      </c>
      <c r="Q44" s="265"/>
      <c r="R44" s="265" t="str">
        <f>IF(AND('Mapa final'!$J$71="Muy Baja",'Mapa final'!$N$71="Menor"),CONCATENATE("R",'Mapa final'!$A$71),"")</f>
        <v/>
      </c>
      <c r="S44" s="265"/>
      <c r="T44" s="265" t="str">
        <f>IF(AND('Mapa final'!$J$77="Muy Baja",'Mapa final'!$N$77="Menor"),CONCATENATE("R",'Mapa final'!$A$77),"")</f>
        <v/>
      </c>
      <c r="U44" s="266"/>
      <c r="V44" s="273" t="str">
        <f>IF(AND('Mapa final'!$J$65="Muy Baja",'Mapa final'!$N$65="Moderado"),CONCATENATE("R",'Mapa final'!$A$65),"")</f>
        <v/>
      </c>
      <c r="W44" s="274"/>
      <c r="X44" s="274" t="str">
        <f>IF(AND('Mapa final'!$J$71="Muy Baja",'Mapa final'!$N$71="Moderado"),CONCATENATE("R",'Mapa final'!$A$71),"")</f>
        <v/>
      </c>
      <c r="Y44" s="274"/>
      <c r="Z44" s="274" t="str">
        <f>IF(AND('Mapa final'!$J$77="Muy Baja",'Mapa final'!$N$77="Moderado"),CONCATENATE("R",'Mapa final'!$A$77),"")</f>
        <v/>
      </c>
      <c r="AA44" s="275"/>
      <c r="AB44" s="291" t="str">
        <f>IF(AND('Mapa final'!$J$65="Muy Baja",'Mapa final'!$N$65="Mayor"),CONCATENATE("R",'Mapa final'!$A$65),"")</f>
        <v/>
      </c>
      <c r="AC44" s="292"/>
      <c r="AD44" s="293" t="str">
        <f>IF(AND('Mapa final'!$J$71="Muy Baja",'Mapa final'!$N$71="Mayor"),CONCATENATE("R",'Mapa final'!$A$71),"")</f>
        <v/>
      </c>
      <c r="AE44" s="293"/>
      <c r="AF44" s="293" t="str">
        <f>IF(AND('Mapa final'!$J$77="Muy Baja",'Mapa final'!$N$77="Mayor"),CONCATENATE("R",'Mapa final'!$A$77),"")</f>
        <v/>
      </c>
      <c r="AG44" s="294"/>
      <c r="AH44" s="282" t="str">
        <f>IF(AND('Mapa final'!$J$65="Muy Baja",'Mapa final'!$N$65="Catastrófico"),CONCATENATE("R",'Mapa final'!$A$65),"")</f>
        <v/>
      </c>
      <c r="AI44" s="283"/>
      <c r="AJ44" s="283" t="str">
        <f>IF(AND('Mapa final'!$J$71="Muy Baja",'Mapa final'!$N$71="Catastrófico"),CONCATENATE("R",'Mapa final'!$A$71),"")</f>
        <v/>
      </c>
      <c r="AK44" s="283"/>
      <c r="AL44" s="283" t="str">
        <f>IF(AND('Mapa final'!$J$77="Muy Baja",'Mapa final'!$N$77="Catastrófico"),CONCATENATE("R",'Mapa final'!$A$77),"")</f>
        <v/>
      </c>
      <c r="AM44" s="2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 thickBot="1" x14ac:dyDescent="0.35">
      <c r="A45" s="84"/>
      <c r="B45" s="313"/>
      <c r="C45" s="313"/>
      <c r="D45" s="314"/>
      <c r="E45" s="308"/>
      <c r="F45" s="309"/>
      <c r="G45" s="309"/>
      <c r="H45" s="309"/>
      <c r="I45" s="310"/>
      <c r="J45" s="267"/>
      <c r="K45" s="268"/>
      <c r="L45" s="268"/>
      <c r="M45" s="268"/>
      <c r="N45" s="268"/>
      <c r="O45" s="269"/>
      <c r="P45" s="267"/>
      <c r="Q45" s="268"/>
      <c r="R45" s="268"/>
      <c r="S45" s="268"/>
      <c r="T45" s="268"/>
      <c r="U45" s="269"/>
      <c r="V45" s="276"/>
      <c r="W45" s="277"/>
      <c r="X45" s="277"/>
      <c r="Y45" s="277"/>
      <c r="Z45" s="277"/>
      <c r="AA45" s="278"/>
      <c r="AB45" s="295"/>
      <c r="AC45" s="296"/>
      <c r="AD45" s="296"/>
      <c r="AE45" s="296"/>
      <c r="AF45" s="296"/>
      <c r="AG45" s="297"/>
      <c r="AH45" s="285"/>
      <c r="AI45" s="286"/>
      <c r="AJ45" s="286"/>
      <c r="AK45" s="286"/>
      <c r="AL45" s="286"/>
      <c r="AM45" s="287"/>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3">
      <c r="A46" s="84"/>
      <c r="B46" s="84"/>
      <c r="C46" s="84"/>
      <c r="D46" s="84"/>
      <c r="E46" s="84"/>
      <c r="F46" s="84"/>
      <c r="G46" s="84"/>
      <c r="H46" s="84"/>
      <c r="I46" s="84"/>
      <c r="J46" s="302" t="s">
        <v>104</v>
      </c>
      <c r="K46" s="303"/>
      <c r="L46" s="303"/>
      <c r="M46" s="303"/>
      <c r="N46" s="303"/>
      <c r="O46" s="304"/>
      <c r="P46" s="302" t="s">
        <v>103</v>
      </c>
      <c r="Q46" s="303"/>
      <c r="R46" s="303"/>
      <c r="S46" s="303"/>
      <c r="T46" s="303"/>
      <c r="U46" s="304"/>
      <c r="V46" s="302" t="s">
        <v>102</v>
      </c>
      <c r="W46" s="303"/>
      <c r="X46" s="303"/>
      <c r="Y46" s="303"/>
      <c r="Z46" s="303"/>
      <c r="AA46" s="304"/>
      <c r="AB46" s="302" t="s">
        <v>101</v>
      </c>
      <c r="AC46" s="312"/>
      <c r="AD46" s="303"/>
      <c r="AE46" s="303"/>
      <c r="AF46" s="303"/>
      <c r="AG46" s="304"/>
      <c r="AH46" s="302" t="s">
        <v>100</v>
      </c>
      <c r="AI46" s="303"/>
      <c r="AJ46" s="303"/>
      <c r="AK46" s="303"/>
      <c r="AL46" s="303"/>
      <c r="AM46" s="30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3">
      <c r="A47" s="84"/>
      <c r="B47" s="84"/>
      <c r="C47" s="84"/>
      <c r="D47" s="84"/>
      <c r="E47" s="84"/>
      <c r="F47" s="84"/>
      <c r="G47" s="84"/>
      <c r="H47" s="84"/>
      <c r="I47" s="84"/>
      <c r="J47" s="305"/>
      <c r="K47" s="306"/>
      <c r="L47" s="306"/>
      <c r="M47" s="306"/>
      <c r="N47" s="306"/>
      <c r="O47" s="307"/>
      <c r="P47" s="305"/>
      <c r="Q47" s="306"/>
      <c r="R47" s="306"/>
      <c r="S47" s="306"/>
      <c r="T47" s="306"/>
      <c r="U47" s="307"/>
      <c r="V47" s="305"/>
      <c r="W47" s="306"/>
      <c r="X47" s="306"/>
      <c r="Y47" s="306"/>
      <c r="Z47" s="306"/>
      <c r="AA47" s="307"/>
      <c r="AB47" s="305"/>
      <c r="AC47" s="306"/>
      <c r="AD47" s="306"/>
      <c r="AE47" s="306"/>
      <c r="AF47" s="306"/>
      <c r="AG47" s="307"/>
      <c r="AH47" s="305"/>
      <c r="AI47" s="306"/>
      <c r="AJ47" s="306"/>
      <c r="AK47" s="306"/>
      <c r="AL47" s="306"/>
      <c r="AM47" s="307"/>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3">
      <c r="A48" s="84"/>
      <c r="B48" s="84"/>
      <c r="C48" s="84"/>
      <c r="D48" s="84"/>
      <c r="E48" s="84"/>
      <c r="F48" s="84"/>
      <c r="G48" s="84"/>
      <c r="H48" s="84"/>
      <c r="I48" s="84"/>
      <c r="J48" s="305"/>
      <c r="K48" s="306"/>
      <c r="L48" s="306"/>
      <c r="M48" s="306"/>
      <c r="N48" s="306"/>
      <c r="O48" s="307"/>
      <c r="P48" s="305"/>
      <c r="Q48" s="306"/>
      <c r="R48" s="306"/>
      <c r="S48" s="306"/>
      <c r="T48" s="306"/>
      <c r="U48" s="307"/>
      <c r="V48" s="305"/>
      <c r="W48" s="306"/>
      <c r="X48" s="306"/>
      <c r="Y48" s="306"/>
      <c r="Z48" s="306"/>
      <c r="AA48" s="307"/>
      <c r="AB48" s="305"/>
      <c r="AC48" s="306"/>
      <c r="AD48" s="306"/>
      <c r="AE48" s="306"/>
      <c r="AF48" s="306"/>
      <c r="AG48" s="307"/>
      <c r="AH48" s="305"/>
      <c r="AI48" s="306"/>
      <c r="AJ48" s="306"/>
      <c r="AK48" s="306"/>
      <c r="AL48" s="306"/>
      <c r="AM48" s="307"/>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3">
      <c r="A49" s="84"/>
      <c r="B49" s="84"/>
      <c r="C49" s="84"/>
      <c r="D49" s="84"/>
      <c r="E49" s="84"/>
      <c r="F49" s="84"/>
      <c r="G49" s="84"/>
      <c r="H49" s="84"/>
      <c r="I49" s="84"/>
      <c r="J49" s="305"/>
      <c r="K49" s="306"/>
      <c r="L49" s="306"/>
      <c r="M49" s="306"/>
      <c r="N49" s="306"/>
      <c r="O49" s="307"/>
      <c r="P49" s="305"/>
      <c r="Q49" s="306"/>
      <c r="R49" s="306"/>
      <c r="S49" s="306"/>
      <c r="T49" s="306"/>
      <c r="U49" s="307"/>
      <c r="V49" s="305"/>
      <c r="W49" s="306"/>
      <c r="X49" s="306"/>
      <c r="Y49" s="306"/>
      <c r="Z49" s="306"/>
      <c r="AA49" s="307"/>
      <c r="AB49" s="305"/>
      <c r="AC49" s="306"/>
      <c r="AD49" s="306"/>
      <c r="AE49" s="306"/>
      <c r="AF49" s="306"/>
      <c r="AG49" s="307"/>
      <c r="AH49" s="305"/>
      <c r="AI49" s="306"/>
      <c r="AJ49" s="306"/>
      <c r="AK49" s="306"/>
      <c r="AL49" s="306"/>
      <c r="AM49" s="307"/>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3">
      <c r="A50" s="84"/>
      <c r="B50" s="84"/>
      <c r="C50" s="84"/>
      <c r="D50" s="84"/>
      <c r="E50" s="84"/>
      <c r="F50" s="84"/>
      <c r="G50" s="84"/>
      <c r="H50" s="84"/>
      <c r="I50" s="84"/>
      <c r="J50" s="305"/>
      <c r="K50" s="306"/>
      <c r="L50" s="306"/>
      <c r="M50" s="306"/>
      <c r="N50" s="306"/>
      <c r="O50" s="307"/>
      <c r="P50" s="305"/>
      <c r="Q50" s="306"/>
      <c r="R50" s="306"/>
      <c r="S50" s="306"/>
      <c r="T50" s="306"/>
      <c r="U50" s="307"/>
      <c r="V50" s="305"/>
      <c r="W50" s="306"/>
      <c r="X50" s="306"/>
      <c r="Y50" s="306"/>
      <c r="Z50" s="306"/>
      <c r="AA50" s="307"/>
      <c r="AB50" s="305"/>
      <c r="AC50" s="306"/>
      <c r="AD50" s="306"/>
      <c r="AE50" s="306"/>
      <c r="AF50" s="306"/>
      <c r="AG50" s="307"/>
      <c r="AH50" s="305"/>
      <c r="AI50" s="306"/>
      <c r="AJ50" s="306"/>
      <c r="AK50" s="306"/>
      <c r="AL50" s="306"/>
      <c r="AM50" s="307"/>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thickBot="1" x14ac:dyDescent="0.35">
      <c r="A51" s="84"/>
      <c r="B51" s="84"/>
      <c r="C51" s="84"/>
      <c r="D51" s="84"/>
      <c r="E51" s="84"/>
      <c r="F51" s="84"/>
      <c r="G51" s="84"/>
      <c r="H51" s="84"/>
      <c r="I51" s="84"/>
      <c r="J51" s="308"/>
      <c r="K51" s="309"/>
      <c r="L51" s="309"/>
      <c r="M51" s="309"/>
      <c r="N51" s="309"/>
      <c r="O51" s="310"/>
      <c r="P51" s="308"/>
      <c r="Q51" s="309"/>
      <c r="R51" s="309"/>
      <c r="S51" s="309"/>
      <c r="T51" s="309"/>
      <c r="U51" s="310"/>
      <c r="V51" s="308"/>
      <c r="W51" s="309"/>
      <c r="X51" s="309"/>
      <c r="Y51" s="309"/>
      <c r="Z51" s="309"/>
      <c r="AA51" s="310"/>
      <c r="AB51" s="308"/>
      <c r="AC51" s="309"/>
      <c r="AD51" s="309"/>
      <c r="AE51" s="309"/>
      <c r="AF51" s="309"/>
      <c r="AG51" s="310"/>
      <c r="AH51" s="308"/>
      <c r="AI51" s="309"/>
      <c r="AJ51" s="309"/>
      <c r="AK51" s="309"/>
      <c r="AL51" s="309"/>
      <c r="AM51" s="310"/>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3">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3">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3">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3">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3">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3">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3">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3">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3">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3">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3">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3">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3">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3">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3">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3">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3">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3">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3">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3">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3">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3">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3">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3">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3">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3">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3">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3">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3">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3">
      <c r="B137" s="84"/>
      <c r="C137" s="84"/>
      <c r="D137" s="84"/>
      <c r="E137" s="84"/>
      <c r="F137" s="84"/>
      <c r="G137" s="84"/>
      <c r="H137" s="84"/>
      <c r="I137" s="84"/>
    </row>
    <row r="138" spans="2:63" x14ac:dyDescent="0.3">
      <c r="B138" s="84"/>
      <c r="C138" s="84"/>
      <c r="D138" s="84"/>
      <c r="E138" s="84"/>
      <c r="F138" s="84"/>
      <c r="G138" s="84"/>
      <c r="H138" s="84"/>
      <c r="I138" s="84"/>
    </row>
    <row r="139" spans="2:63" x14ac:dyDescent="0.3">
      <c r="B139" s="84"/>
      <c r="C139" s="84"/>
      <c r="D139" s="84"/>
      <c r="E139" s="84"/>
      <c r="F139" s="84"/>
      <c r="G139" s="84"/>
      <c r="H139" s="84"/>
      <c r="I139" s="84"/>
    </row>
    <row r="140" spans="2:63" x14ac:dyDescent="0.3">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B2" sqref="B2:I4"/>
    </sheetView>
  </sheetViews>
  <sheetFormatPr baseColWidth="10" defaultRowHeight="14.4" x14ac:dyDescent="0.3"/>
  <cols>
    <col min="2" max="18" width="5.6640625" customWidth="1"/>
    <col min="19" max="19" width="8.44140625" customWidth="1"/>
    <col min="20" max="23" width="5.6640625" customWidth="1"/>
    <col min="24" max="24" width="8.44140625" customWidth="1"/>
    <col min="25" max="26" width="5.6640625" customWidth="1"/>
    <col min="27" max="27" width="10.6640625" customWidth="1"/>
    <col min="28" max="28" width="5.6640625" customWidth="1"/>
    <col min="29" max="29" width="7.44140625" customWidth="1"/>
    <col min="30" max="33" width="5.6640625" customWidth="1"/>
    <col min="34" max="34" width="8.44140625" customWidth="1"/>
    <col min="35" max="39" width="5.6640625" customWidth="1"/>
    <col min="41" max="46" width="5.6640625" customWidth="1"/>
  </cols>
  <sheetData>
    <row r="1" spans="1:91" x14ac:dyDescent="0.3">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3">
      <c r="A2" s="84"/>
      <c r="B2" s="381" t="s">
        <v>143</v>
      </c>
      <c r="C2" s="382"/>
      <c r="D2" s="382"/>
      <c r="E2" s="382"/>
      <c r="F2" s="382"/>
      <c r="G2" s="382"/>
      <c r="H2" s="382"/>
      <c r="I2" s="382"/>
      <c r="J2" s="301" t="s">
        <v>2</v>
      </c>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3">
      <c r="A3" s="84"/>
      <c r="B3" s="382"/>
      <c r="C3" s="382"/>
      <c r="D3" s="382"/>
      <c r="E3" s="382"/>
      <c r="F3" s="382"/>
      <c r="G3" s="382"/>
      <c r="H3" s="382"/>
      <c r="I3" s="382"/>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3">
      <c r="A4" s="84"/>
      <c r="B4" s="382"/>
      <c r="C4" s="382"/>
      <c r="D4" s="382"/>
      <c r="E4" s="382"/>
      <c r="F4" s="382"/>
      <c r="G4" s="382"/>
      <c r="H4" s="382"/>
      <c r="I4" s="382"/>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 thickBot="1" x14ac:dyDescent="0.35">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3">
      <c r="A6" s="84"/>
      <c r="B6" s="313" t="s">
        <v>3</v>
      </c>
      <c r="C6" s="313"/>
      <c r="D6" s="314"/>
      <c r="E6" s="351" t="s">
        <v>108</v>
      </c>
      <c r="F6" s="352"/>
      <c r="G6" s="352"/>
      <c r="H6" s="352"/>
      <c r="I6" s="353"/>
      <c r="J6" s="46" t="str">
        <f>IF(AND('Mapa final'!$AA$11="Muy Alta",'Mapa final'!$AC$11="Leve"),CONCATENATE("R1C",'Mapa final'!$Q$11),"")</f>
        <v/>
      </c>
      <c r="K6" s="47" t="str">
        <f>IF(AND('Mapa final'!$AA$12="Muy Alta",'Mapa final'!$AC$12="Leve"),CONCATENATE("R1C",'Mapa final'!$Q$12),"")</f>
        <v/>
      </c>
      <c r="L6" s="47" t="str">
        <f>IF(AND('Mapa final'!$AA$13="Muy Alta",'Mapa final'!$AC$13="Leve"),CONCATENATE("R1C",'Mapa final'!$Q$13),"")</f>
        <v/>
      </c>
      <c r="M6" s="47" t="str">
        <f>IF(AND('Mapa final'!$AA$14="Muy Alta",'Mapa final'!$AC$14="Leve"),CONCATENATE("R1C",'Mapa final'!$Q$14),"")</f>
        <v/>
      </c>
      <c r="N6" s="47" t="str">
        <f>IF(AND('Mapa final'!$AA$15="Muy Alta",'Mapa final'!$AC$15="Leve"),CONCATENATE("R1C",'Mapa final'!$Q$15),"")</f>
        <v/>
      </c>
      <c r="O6" s="48" t="str">
        <f>IF(AND('Mapa final'!$AA$16="Muy Alta",'Mapa final'!$AC$16="Leve"),CONCATENATE("R1C",'Mapa final'!$Q$16),"")</f>
        <v/>
      </c>
      <c r="P6" s="46" t="str">
        <f>IF(AND('Mapa final'!$AA$11="Muy Alta",'Mapa final'!$AC$11="Menor"),CONCATENATE("R1C",'Mapa final'!$Q$11),"")</f>
        <v/>
      </c>
      <c r="Q6" s="47" t="str">
        <f>IF(AND('Mapa final'!$AA$12="Muy Alta",'Mapa final'!$AC$12="Menor"),CONCATENATE("R1C",'Mapa final'!$Q$12),"")</f>
        <v/>
      </c>
      <c r="R6" s="47" t="str">
        <f>IF(AND('Mapa final'!$AA$13="Muy Alta",'Mapa final'!$AC$13="Menor"),CONCATENATE("R1C",'Mapa final'!$Q$13),"")</f>
        <v/>
      </c>
      <c r="S6" s="47" t="str">
        <f>IF(AND('Mapa final'!$AA$14="Muy Alta",'Mapa final'!$AC$14="Menor"),CONCATENATE("R1C",'Mapa final'!$Q$14),"")</f>
        <v/>
      </c>
      <c r="T6" s="47" t="str">
        <f>IF(AND('Mapa final'!$AA$15="Muy Alta",'Mapa final'!$AC$15="Menor"),CONCATENATE("R1C",'Mapa final'!$Q$15),"")</f>
        <v/>
      </c>
      <c r="U6" s="48" t="str">
        <f>IF(AND('Mapa final'!$AA$16="Muy Alta",'Mapa final'!$AC$16="Menor"),CONCATENATE("R1C",'Mapa final'!$Q$16),"")</f>
        <v/>
      </c>
      <c r="V6" s="46" t="str">
        <f>IF(AND('Mapa final'!$AA$11="Muy Alta",'Mapa final'!$AC$11="Moderado"),CONCATENATE("R1C",'Mapa final'!$Q$11),"")</f>
        <v/>
      </c>
      <c r="W6" s="47" t="str">
        <f>IF(AND('Mapa final'!$AA$12="Muy Alta",'Mapa final'!$AC$12="Moderado"),CONCATENATE("R1C",'Mapa final'!$Q$12),"")</f>
        <v/>
      </c>
      <c r="X6" s="47" t="str">
        <f>IF(AND('Mapa final'!$AA$13="Muy Alta",'Mapa final'!$AC$13="Moderado"),CONCATENATE("R1C",'Mapa final'!$Q$13),"")</f>
        <v/>
      </c>
      <c r="Y6" s="47" t="str">
        <f>IF(AND('Mapa final'!$AA$14="Muy Alta",'Mapa final'!$AC$14="Moderado"),CONCATENATE("R1C",'Mapa final'!$Q$14),"")</f>
        <v/>
      </c>
      <c r="Z6" s="47" t="str">
        <f>IF(AND('Mapa final'!$AA$15="Muy Alta",'Mapa final'!$AC$15="Moderado"),CONCATENATE("R1C",'Mapa final'!$Q$15),"")</f>
        <v/>
      </c>
      <c r="AA6" s="48" t="str">
        <f>IF(AND('Mapa final'!$AA$16="Muy Alta",'Mapa final'!$AC$16="Moderado"),CONCATENATE("R1C",'Mapa final'!$Q$16),"")</f>
        <v/>
      </c>
      <c r="AB6" s="46" t="str">
        <f>IF(AND('Mapa final'!$AA$11="Muy Alta",'Mapa final'!$AC$11="Mayor"),CONCATENATE("R1C",'Mapa final'!$Q$11),"")</f>
        <v/>
      </c>
      <c r="AC6" s="47" t="str">
        <f>IF(AND('Mapa final'!$AA$12="Muy Alta",'Mapa final'!$AC$12="Mayor"),CONCATENATE("R1C",'Mapa final'!$Q$12),"")</f>
        <v/>
      </c>
      <c r="AD6" s="47" t="str">
        <f>IF(AND('Mapa final'!$AA$13="Muy Alta",'Mapa final'!$AC$13="Mayor"),CONCATENATE("R1C",'Mapa final'!$Q$13),"")</f>
        <v/>
      </c>
      <c r="AE6" s="47" t="str">
        <f>IF(AND('Mapa final'!$AA$14="Muy Alta",'Mapa final'!$AC$14="Mayor"),CONCATENATE("R1C",'Mapa final'!$Q$14),"")</f>
        <v/>
      </c>
      <c r="AF6" s="47" t="str">
        <f>IF(AND('Mapa final'!$AA$15="Muy Alta",'Mapa final'!$AC$15="Mayor"),CONCATENATE("R1C",'Mapa final'!$Q$15),"")</f>
        <v/>
      </c>
      <c r="AG6" s="48" t="str">
        <f>IF(AND('Mapa final'!$AA$16="Muy Alta",'Mapa final'!$AC$16="Mayor"),CONCATENATE("R1C",'Mapa final'!$Q$16),"")</f>
        <v/>
      </c>
      <c r="AH6" s="49" t="str">
        <f>IF(AND('Mapa final'!$AA$11="Muy Alta",'Mapa final'!$AC$11="Catastrófico"),CONCATENATE("R1C",'Mapa final'!$Q$11),"")</f>
        <v/>
      </c>
      <c r="AI6" s="50" t="str">
        <f>IF(AND('Mapa final'!$AA$12="Muy Alta",'Mapa final'!$AC$12="Catastrófico"),CONCATENATE("R1C",'Mapa final'!$Q$12),"")</f>
        <v/>
      </c>
      <c r="AJ6" s="50" t="str">
        <f>IF(AND('Mapa final'!$AA$13="Muy Alta",'Mapa final'!$AC$13="Catastrófico"),CONCATENATE("R1C",'Mapa final'!$Q$13),"")</f>
        <v/>
      </c>
      <c r="AK6" s="50" t="str">
        <f>IF(AND('Mapa final'!$AA$14="Muy Alta",'Mapa final'!$AC$14="Catastrófico"),CONCATENATE("R1C",'Mapa final'!$Q$14),"")</f>
        <v/>
      </c>
      <c r="AL6" s="50" t="str">
        <f>IF(AND('Mapa final'!$AA$15="Muy Alta",'Mapa final'!$AC$15="Catastrófico"),CONCATENATE("R1C",'Mapa final'!$Q$15),"")</f>
        <v/>
      </c>
      <c r="AM6" s="51" t="str">
        <f>IF(AND('Mapa final'!$AA$16="Muy Alta",'Mapa final'!$AC$16="Catastrófico"),CONCATENATE("R1C",'Mapa final'!$Q$16),"")</f>
        <v/>
      </c>
      <c r="AN6" s="84"/>
      <c r="AO6" s="372" t="s">
        <v>76</v>
      </c>
      <c r="AP6" s="373"/>
      <c r="AQ6" s="373"/>
      <c r="AR6" s="373"/>
      <c r="AS6" s="373"/>
      <c r="AT6" s="37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3">
      <c r="A7" s="84"/>
      <c r="B7" s="313"/>
      <c r="C7" s="313"/>
      <c r="D7" s="314"/>
      <c r="E7" s="354"/>
      <c r="F7" s="355"/>
      <c r="G7" s="355"/>
      <c r="H7" s="355"/>
      <c r="I7" s="356"/>
      <c r="J7" s="52" t="str">
        <f>IF(AND('Mapa final'!$AA$17="Muy Alta",'Mapa final'!$AC$17="Leve"),CONCATENATE("R2C",'Mapa final'!$Q$17),"")</f>
        <v/>
      </c>
      <c r="K7" s="53" t="str">
        <f>IF(AND('Mapa final'!$AA$18="Muy Alta",'Mapa final'!$AC$18="Leve"),CONCATENATE("R2C",'Mapa final'!$Q$18),"")</f>
        <v/>
      </c>
      <c r="L7" s="53" t="str">
        <f>IF(AND('Mapa final'!$AA$19="Muy Alta",'Mapa final'!$AC$19="Leve"),CONCATENATE("R2C",'Mapa final'!$Q$19),"")</f>
        <v/>
      </c>
      <c r="M7" s="53" t="str">
        <f>IF(AND('Mapa final'!$AA$20="Muy Alta",'Mapa final'!$AC$20="Leve"),CONCATENATE("R2C",'Mapa final'!$Q$20),"")</f>
        <v/>
      </c>
      <c r="N7" s="53" t="str">
        <f>IF(AND('Mapa final'!$AA$21="Muy Alta",'Mapa final'!$AC$21="Leve"),CONCATENATE("R2C",'Mapa final'!$Q$21),"")</f>
        <v/>
      </c>
      <c r="O7" s="54" t="str">
        <f>IF(AND('Mapa final'!$AA$22="Muy Alta",'Mapa final'!$AC$22="Leve"),CONCATENATE("R2C",'Mapa final'!$Q$22),"")</f>
        <v/>
      </c>
      <c r="P7" s="52" t="str">
        <f>IF(AND('Mapa final'!$AA$17="Muy Alta",'Mapa final'!$AC$17="Menor"),CONCATENATE("R2C",'Mapa final'!$Q$17),"")</f>
        <v/>
      </c>
      <c r="Q7" s="53" t="str">
        <f>IF(AND('Mapa final'!$AA$18="Muy Alta",'Mapa final'!$AC$18="Menor"),CONCATENATE("R2C",'Mapa final'!$Q$18),"")</f>
        <v/>
      </c>
      <c r="R7" s="53" t="str">
        <f>IF(AND('Mapa final'!$AA$19="Muy Alta",'Mapa final'!$AC$19="Menor"),CONCATENATE("R2C",'Mapa final'!$Q$19),"")</f>
        <v/>
      </c>
      <c r="S7" s="53" t="str">
        <f>IF(AND('Mapa final'!$AA$20="Muy Alta",'Mapa final'!$AC$20="Menor"),CONCATENATE("R2C",'Mapa final'!$Q$20),"")</f>
        <v/>
      </c>
      <c r="T7" s="53" t="str">
        <f>IF(AND('Mapa final'!$AA$21="Muy Alta",'Mapa final'!$AC$21="Menor"),CONCATENATE("R2C",'Mapa final'!$Q$21),"")</f>
        <v/>
      </c>
      <c r="U7" s="54" t="str">
        <f>IF(AND('Mapa final'!$AA$22="Muy Alta",'Mapa final'!$AC$22="Menor"),CONCATENATE("R2C",'Mapa final'!$Q$22),"")</f>
        <v/>
      </c>
      <c r="V7" s="52" t="str">
        <f>IF(AND('Mapa final'!$AA$17="Muy Alta",'Mapa final'!$AC$17="Moderado"),CONCATENATE("R2C",'Mapa final'!$Q$17),"")</f>
        <v/>
      </c>
      <c r="W7" s="53" t="str">
        <f>IF(AND('Mapa final'!$AA$18="Muy Alta",'Mapa final'!$AC$18="Moderado"),CONCATENATE("R2C",'Mapa final'!$Q$18),"")</f>
        <v/>
      </c>
      <c r="X7" s="53" t="str">
        <f>IF(AND('Mapa final'!$AA$19="Muy Alta",'Mapa final'!$AC$19="Moderado"),CONCATENATE("R2C",'Mapa final'!$Q$19),"")</f>
        <v/>
      </c>
      <c r="Y7" s="53" t="str">
        <f>IF(AND('Mapa final'!$AA$20="Muy Alta",'Mapa final'!$AC$20="Moderado"),CONCATENATE("R2C",'Mapa final'!$Q$20),"")</f>
        <v/>
      </c>
      <c r="Z7" s="53" t="str">
        <f>IF(AND('Mapa final'!$AA$21="Muy Alta",'Mapa final'!$AC$21="Moderado"),CONCATENATE("R2C",'Mapa final'!$Q$21),"")</f>
        <v/>
      </c>
      <c r="AA7" s="54" t="str">
        <f>IF(AND('Mapa final'!$AA$22="Muy Alta",'Mapa final'!$AC$22="Moderado"),CONCATENATE("R2C",'Mapa final'!$Q$22),"")</f>
        <v/>
      </c>
      <c r="AB7" s="52" t="str">
        <f>IF(AND('Mapa final'!$AA$17="Muy Alta",'Mapa final'!$AC$17="Mayor"),CONCATENATE("R2C",'Mapa final'!$Q$17),"")</f>
        <v/>
      </c>
      <c r="AC7" s="53" t="str">
        <f>IF(AND('Mapa final'!$AA$18="Muy Alta",'Mapa final'!$AC$18="Mayor"),CONCATENATE("R2C",'Mapa final'!$Q$18),"")</f>
        <v/>
      </c>
      <c r="AD7" s="53" t="str">
        <f>IF(AND('Mapa final'!$AA$19="Muy Alta",'Mapa final'!$AC$19="Mayor"),CONCATENATE("R2C",'Mapa final'!$Q$19),"")</f>
        <v/>
      </c>
      <c r="AE7" s="53" t="str">
        <f>IF(AND('Mapa final'!$AA$20="Muy Alta",'Mapa final'!$AC$20="Mayor"),CONCATENATE("R2C",'Mapa final'!$Q$20),"")</f>
        <v/>
      </c>
      <c r="AF7" s="53" t="str">
        <f>IF(AND('Mapa final'!$AA$21="Muy Alta",'Mapa final'!$AC$21="Mayor"),CONCATENATE("R2C",'Mapa final'!$Q$21),"")</f>
        <v/>
      </c>
      <c r="AG7" s="54" t="str">
        <f>IF(AND('Mapa final'!$AA$22="Muy Alta",'Mapa final'!$AC$22="Mayor"),CONCATENATE("R2C",'Mapa final'!$Q$22),"")</f>
        <v/>
      </c>
      <c r="AH7" s="55" t="str">
        <f>IF(AND('Mapa final'!$AA$17="Muy Alta",'Mapa final'!$AC$17="Catastrófico"),CONCATENATE("R2C",'Mapa final'!$Q$17),"")</f>
        <v/>
      </c>
      <c r="AI7" s="56" t="str">
        <f>IF(AND('Mapa final'!$AA$18="Muy Alta",'Mapa final'!$AC$18="Catastrófico"),CONCATENATE("R2C",'Mapa final'!$Q$18),"")</f>
        <v/>
      </c>
      <c r="AJ7" s="56" t="str">
        <f>IF(AND('Mapa final'!$AA$19="Muy Alta",'Mapa final'!$AC$19="Catastrófico"),CONCATENATE("R2C",'Mapa final'!$Q$19),"")</f>
        <v/>
      </c>
      <c r="AK7" s="56" t="str">
        <f>IF(AND('Mapa final'!$AA$20="Muy Alta",'Mapa final'!$AC$20="Catastrófico"),CONCATENATE("R2C",'Mapa final'!$Q$20),"")</f>
        <v/>
      </c>
      <c r="AL7" s="56" t="str">
        <f>IF(AND('Mapa final'!$AA$21="Muy Alta",'Mapa final'!$AC$21="Catastrófico"),CONCATENATE("R2C",'Mapa final'!$Q$21),"")</f>
        <v/>
      </c>
      <c r="AM7" s="57" t="str">
        <f>IF(AND('Mapa final'!$AA$22="Muy Alta",'Mapa final'!$AC$22="Catastrófico"),CONCATENATE("R2C",'Mapa final'!$Q$22),"")</f>
        <v/>
      </c>
      <c r="AN7" s="84"/>
      <c r="AO7" s="375"/>
      <c r="AP7" s="376"/>
      <c r="AQ7" s="376"/>
      <c r="AR7" s="376"/>
      <c r="AS7" s="376"/>
      <c r="AT7" s="377"/>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3">
      <c r="A8" s="84"/>
      <c r="B8" s="313"/>
      <c r="C8" s="313"/>
      <c r="D8" s="314"/>
      <c r="E8" s="354"/>
      <c r="F8" s="355"/>
      <c r="G8" s="355"/>
      <c r="H8" s="355"/>
      <c r="I8" s="356"/>
      <c r="J8" s="52" t="str">
        <f>IF(AND('Mapa final'!$AA$23="Muy Alta",'Mapa final'!$AC$23="Leve"),CONCATENATE("R3C",'Mapa final'!$Q$23),"")</f>
        <v/>
      </c>
      <c r="K8" s="53" t="str">
        <f>IF(AND('Mapa final'!$AA$24="Muy Alta",'Mapa final'!$AC$24="Leve"),CONCATENATE("R3C",'Mapa final'!$Q$24),"")</f>
        <v/>
      </c>
      <c r="L8" s="53" t="str">
        <f>IF(AND('Mapa final'!$AA$25="Muy Alta",'Mapa final'!$AC$25="Leve"),CONCATENATE("R3C",'Mapa final'!$Q$25),"")</f>
        <v/>
      </c>
      <c r="M8" s="53" t="str">
        <f>IF(AND('Mapa final'!$AA$26="Muy Alta",'Mapa final'!$AC$26="Leve"),CONCATENATE("R3C",'Mapa final'!$Q$26),"")</f>
        <v/>
      </c>
      <c r="N8" s="53" t="str">
        <f>IF(AND('Mapa final'!$AA$27="Muy Alta",'Mapa final'!$AC$27="Leve"),CONCATENATE("R3C",'Mapa final'!$Q$27),"")</f>
        <v/>
      </c>
      <c r="O8" s="54" t="str">
        <f>IF(AND('Mapa final'!$AA$28="Muy Alta",'Mapa final'!$AC$28="Leve"),CONCATENATE("R3C",'Mapa final'!$Q$28),"")</f>
        <v/>
      </c>
      <c r="P8" s="52" t="str">
        <f>IF(AND('Mapa final'!$AA$23="Muy Alta",'Mapa final'!$AC$23="Menor"),CONCATENATE("R3C",'Mapa final'!$Q$23),"")</f>
        <v/>
      </c>
      <c r="Q8" s="53" t="str">
        <f>IF(AND('Mapa final'!$AA$24="Muy Alta",'Mapa final'!$AC$24="Menor"),CONCATENATE("R3C",'Mapa final'!$Q$24),"")</f>
        <v/>
      </c>
      <c r="R8" s="53" t="str">
        <f>IF(AND('Mapa final'!$AA$25="Muy Alta",'Mapa final'!$AC$25="Menor"),CONCATENATE("R3C",'Mapa final'!$Q$25),"")</f>
        <v/>
      </c>
      <c r="S8" s="53" t="str">
        <f>IF(AND('Mapa final'!$AA$26="Muy Alta",'Mapa final'!$AC$26="Menor"),CONCATENATE("R3C",'Mapa final'!$Q$26),"")</f>
        <v/>
      </c>
      <c r="T8" s="53" t="str">
        <f>IF(AND('Mapa final'!$AA$27="Muy Alta",'Mapa final'!$AC$27="Menor"),CONCATENATE("R3C",'Mapa final'!$Q$27),"")</f>
        <v/>
      </c>
      <c r="U8" s="54" t="str">
        <f>IF(AND('Mapa final'!$AA$28="Muy Alta",'Mapa final'!$AC$28="Menor"),CONCATENATE("R3C",'Mapa final'!$Q$28),"")</f>
        <v/>
      </c>
      <c r="V8" s="52" t="str">
        <f>IF(AND('Mapa final'!$AA$23="Muy Alta",'Mapa final'!$AC$23="Moderado"),CONCATENATE("R3C",'Mapa final'!$Q$23),"")</f>
        <v/>
      </c>
      <c r="W8" s="53" t="str">
        <f>IF(AND('Mapa final'!$AA$24="Muy Alta",'Mapa final'!$AC$24="Moderado"),CONCATENATE("R3C",'Mapa final'!$Q$24),"")</f>
        <v/>
      </c>
      <c r="X8" s="53" t="str">
        <f>IF(AND('Mapa final'!$AA$25="Muy Alta",'Mapa final'!$AC$25="Moderado"),CONCATENATE("R3C",'Mapa final'!$Q$25),"")</f>
        <v/>
      </c>
      <c r="Y8" s="53" t="str">
        <f>IF(AND('Mapa final'!$AA$26="Muy Alta",'Mapa final'!$AC$26="Moderado"),CONCATENATE("R3C",'Mapa final'!$Q$26),"")</f>
        <v/>
      </c>
      <c r="Z8" s="53" t="str">
        <f>IF(AND('Mapa final'!$AA$27="Muy Alta",'Mapa final'!$AC$27="Moderado"),CONCATENATE("R3C",'Mapa final'!$Q$27),"")</f>
        <v/>
      </c>
      <c r="AA8" s="54" t="str">
        <f>IF(AND('Mapa final'!$AA$28="Muy Alta",'Mapa final'!$AC$28="Moderado"),CONCATENATE("R3C",'Mapa final'!$Q$28),"")</f>
        <v/>
      </c>
      <c r="AB8" s="52" t="str">
        <f>IF(AND('Mapa final'!$AA$23="Muy Alta",'Mapa final'!$AC$23="Mayor"),CONCATENATE("R3C",'Mapa final'!$Q$23),"")</f>
        <v/>
      </c>
      <c r="AC8" s="53" t="str">
        <f>IF(AND('Mapa final'!$AA$24="Muy Alta",'Mapa final'!$AC$24="Mayor"),CONCATENATE("R3C",'Mapa final'!$Q$24),"")</f>
        <v/>
      </c>
      <c r="AD8" s="53" t="str">
        <f>IF(AND('Mapa final'!$AA$25="Muy Alta",'Mapa final'!$AC$25="Mayor"),CONCATENATE("R3C",'Mapa final'!$Q$25),"")</f>
        <v/>
      </c>
      <c r="AE8" s="53" t="str">
        <f>IF(AND('Mapa final'!$AA$26="Muy Alta",'Mapa final'!$AC$26="Mayor"),CONCATENATE("R3C",'Mapa final'!$Q$26),"")</f>
        <v/>
      </c>
      <c r="AF8" s="53" t="str">
        <f>IF(AND('Mapa final'!$AA$27="Muy Alta",'Mapa final'!$AC$27="Mayor"),CONCATENATE("R3C",'Mapa final'!$Q$27),"")</f>
        <v/>
      </c>
      <c r="AG8" s="54" t="str">
        <f>IF(AND('Mapa final'!$AA$28="Muy Alta",'Mapa final'!$AC$28="Mayor"),CONCATENATE("R3C",'Mapa final'!$Q$28),"")</f>
        <v/>
      </c>
      <c r="AH8" s="55" t="str">
        <f>IF(AND('Mapa final'!$AA$23="Muy Alta",'Mapa final'!$AC$23="Catastrófico"),CONCATENATE("R3C",'Mapa final'!$Q$23),"")</f>
        <v/>
      </c>
      <c r="AI8" s="56" t="str">
        <f>IF(AND('Mapa final'!$AA$24="Muy Alta",'Mapa final'!$AC$24="Catastrófico"),CONCATENATE("R3C",'Mapa final'!$Q$24),"")</f>
        <v/>
      </c>
      <c r="AJ8" s="56" t="str">
        <f>IF(AND('Mapa final'!$AA$25="Muy Alta",'Mapa final'!$AC$25="Catastrófico"),CONCATENATE("R3C",'Mapa final'!$Q$25),"")</f>
        <v/>
      </c>
      <c r="AK8" s="56" t="str">
        <f>IF(AND('Mapa final'!$AA$26="Muy Alta",'Mapa final'!$AC$26="Catastrófico"),CONCATENATE("R3C",'Mapa final'!$Q$26),"")</f>
        <v/>
      </c>
      <c r="AL8" s="56" t="str">
        <f>IF(AND('Mapa final'!$AA$27="Muy Alta",'Mapa final'!$AC$27="Catastrófico"),CONCATENATE("R3C",'Mapa final'!$Q$27),"")</f>
        <v/>
      </c>
      <c r="AM8" s="57" t="str">
        <f>IF(AND('Mapa final'!$AA$28="Muy Alta",'Mapa final'!$AC$28="Catastrófico"),CONCATENATE("R3C",'Mapa final'!$Q$28),"")</f>
        <v/>
      </c>
      <c r="AN8" s="84"/>
      <c r="AO8" s="375"/>
      <c r="AP8" s="376"/>
      <c r="AQ8" s="376"/>
      <c r="AR8" s="376"/>
      <c r="AS8" s="376"/>
      <c r="AT8" s="377"/>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3">
      <c r="A9" s="84"/>
      <c r="B9" s="313"/>
      <c r="C9" s="313"/>
      <c r="D9" s="314"/>
      <c r="E9" s="354"/>
      <c r="F9" s="355"/>
      <c r="G9" s="355"/>
      <c r="H9" s="355"/>
      <c r="I9" s="356"/>
      <c r="J9" s="52" t="str">
        <f>IF(AND('Mapa final'!$AA$29="Muy Alta",'Mapa final'!$AC$29="Leve"),CONCATENATE("R4C",'Mapa final'!$Q$29),"")</f>
        <v/>
      </c>
      <c r="K9" s="53" t="str">
        <f>IF(AND('Mapa final'!$AA$30="Muy Alta",'Mapa final'!$AC$30="Leve"),CONCATENATE("R4C",'Mapa final'!$Q$30),"")</f>
        <v/>
      </c>
      <c r="L9" s="58" t="str">
        <f>IF(AND('Mapa final'!$AA$31="Muy Alta",'Mapa final'!$AC$31="Leve"),CONCATENATE("R4C",'Mapa final'!$Q$31),"")</f>
        <v/>
      </c>
      <c r="M9" s="58" t="str">
        <f>IF(AND('Mapa final'!$AA$32="Muy Alta",'Mapa final'!$AC$32="Leve"),CONCATENATE("R4C",'Mapa final'!$Q$32),"")</f>
        <v/>
      </c>
      <c r="N9" s="58" t="str">
        <f>IF(AND('Mapa final'!$AA$33="Muy Alta",'Mapa final'!$AC$33="Leve"),CONCATENATE("R4C",'Mapa final'!$Q$33),"")</f>
        <v/>
      </c>
      <c r="O9" s="54" t="str">
        <f>IF(AND('Mapa final'!$AA$34="Muy Alta",'Mapa final'!$AC$34="Leve"),CONCATENATE("R4C",'Mapa final'!$Q$34),"")</f>
        <v/>
      </c>
      <c r="P9" s="52" t="str">
        <f>IF(AND('Mapa final'!$AA$29="Muy Alta",'Mapa final'!$AC$29="Menor"),CONCATENATE("R4C",'Mapa final'!$Q$29),"")</f>
        <v/>
      </c>
      <c r="Q9" s="53" t="str">
        <f>IF(AND('Mapa final'!$AA$30="Muy Alta",'Mapa final'!$AC$30="Menor"),CONCATENATE("R4C",'Mapa final'!$Q$30),"")</f>
        <v/>
      </c>
      <c r="R9" s="58" t="str">
        <f>IF(AND('Mapa final'!$AA$31="Muy Alta",'Mapa final'!$AC$31="Menor"),CONCATENATE("R4C",'Mapa final'!$Q$31),"")</f>
        <v/>
      </c>
      <c r="S9" s="58" t="str">
        <f>IF(AND('Mapa final'!$AA$32="Muy Alta",'Mapa final'!$AC$32="Menor"),CONCATENATE("R4C",'Mapa final'!$Q$32),"")</f>
        <v/>
      </c>
      <c r="T9" s="58" t="str">
        <f>IF(AND('Mapa final'!$AA$33="Muy Alta",'Mapa final'!$AC$33="Menor"),CONCATENATE("R4C",'Mapa final'!$Q$33),"")</f>
        <v/>
      </c>
      <c r="U9" s="54" t="str">
        <f>IF(AND('Mapa final'!$AA$34="Muy Alta",'Mapa final'!$AC$34="Menor"),CONCATENATE("R4C",'Mapa final'!$Q$34),"")</f>
        <v/>
      </c>
      <c r="V9" s="52" t="str">
        <f>IF(AND('Mapa final'!$AA$29="Muy Alta",'Mapa final'!$AC$29="Moderado"),CONCATENATE("R4C",'Mapa final'!$Q$29),"")</f>
        <v/>
      </c>
      <c r="W9" s="53" t="str">
        <f>IF(AND('Mapa final'!$AA$30="Muy Alta",'Mapa final'!$AC$30="Moderado"),CONCATENATE("R4C",'Mapa final'!$Q$30),"")</f>
        <v/>
      </c>
      <c r="X9" s="58" t="str">
        <f>IF(AND('Mapa final'!$AA$31="Muy Alta",'Mapa final'!$AC$31="Moderado"),CONCATENATE("R4C",'Mapa final'!$Q$31),"")</f>
        <v/>
      </c>
      <c r="Y9" s="58" t="str">
        <f>IF(AND('Mapa final'!$AA$32="Muy Alta",'Mapa final'!$AC$32="Moderado"),CONCATENATE("R4C",'Mapa final'!$Q$32),"")</f>
        <v/>
      </c>
      <c r="Z9" s="58" t="str">
        <f>IF(AND('Mapa final'!$AA$33="Muy Alta",'Mapa final'!$AC$33="Moderado"),CONCATENATE("R4C",'Mapa final'!$Q$33),"")</f>
        <v/>
      </c>
      <c r="AA9" s="54" t="str">
        <f>IF(AND('Mapa final'!$AA$34="Muy Alta",'Mapa final'!$AC$34="Moderado"),CONCATENATE("R4C",'Mapa final'!$Q$34),"")</f>
        <v/>
      </c>
      <c r="AB9" s="52" t="str">
        <f>IF(AND('Mapa final'!$AA$29="Muy Alta",'Mapa final'!$AC$29="Mayor"),CONCATENATE("R4C",'Mapa final'!$Q$29),"")</f>
        <v/>
      </c>
      <c r="AC9" s="53" t="str">
        <f>IF(AND('Mapa final'!$AA$30="Muy Alta",'Mapa final'!$AC$30="Mayor"),CONCATENATE("R4C",'Mapa final'!$Q$30),"")</f>
        <v/>
      </c>
      <c r="AD9" s="58" t="str">
        <f>IF(AND('Mapa final'!$AA$31="Muy Alta",'Mapa final'!$AC$31="Mayor"),CONCATENATE("R4C",'Mapa final'!$Q$31),"")</f>
        <v/>
      </c>
      <c r="AE9" s="58" t="str">
        <f>IF(AND('Mapa final'!$AA$32="Muy Alta",'Mapa final'!$AC$32="Mayor"),CONCATENATE("R4C",'Mapa final'!$Q$32),"")</f>
        <v/>
      </c>
      <c r="AF9" s="58" t="str">
        <f>IF(AND('Mapa final'!$AA$33="Muy Alta",'Mapa final'!$AC$33="Mayor"),CONCATENATE("R4C",'Mapa final'!$Q$33),"")</f>
        <v/>
      </c>
      <c r="AG9" s="54" t="str">
        <f>IF(AND('Mapa final'!$AA$34="Muy Alta",'Mapa final'!$AC$34="Mayor"),CONCATENATE("R4C",'Mapa final'!$Q$34),"")</f>
        <v/>
      </c>
      <c r="AH9" s="55" t="str">
        <f>IF(AND('Mapa final'!$AA$29="Muy Alta",'Mapa final'!$AC$29="Catastrófico"),CONCATENATE("R4C",'Mapa final'!$Q$29),"")</f>
        <v/>
      </c>
      <c r="AI9" s="56" t="str">
        <f>IF(AND('Mapa final'!$AA$30="Muy Alta",'Mapa final'!$AC$30="Catastrófico"),CONCATENATE("R4C",'Mapa final'!$Q$30),"")</f>
        <v/>
      </c>
      <c r="AJ9" s="56" t="str">
        <f>IF(AND('Mapa final'!$AA$31="Muy Alta",'Mapa final'!$AC$31="Catastrófico"),CONCATENATE("R4C",'Mapa final'!$Q$31),"")</f>
        <v/>
      </c>
      <c r="AK9" s="56" t="str">
        <f>IF(AND('Mapa final'!$AA$32="Muy Alta",'Mapa final'!$AC$32="Catastrófico"),CONCATENATE("R4C",'Mapa final'!$Q$32),"")</f>
        <v/>
      </c>
      <c r="AL9" s="56" t="str">
        <f>IF(AND('Mapa final'!$AA$33="Muy Alta",'Mapa final'!$AC$33="Catastrófico"),CONCATENATE("R4C",'Mapa final'!$Q$33),"")</f>
        <v/>
      </c>
      <c r="AM9" s="57" t="str">
        <f>IF(AND('Mapa final'!$AA$34="Muy Alta",'Mapa final'!$AC$34="Catastrófico"),CONCATENATE("R4C",'Mapa final'!$Q$34),"")</f>
        <v/>
      </c>
      <c r="AN9" s="84"/>
      <c r="AO9" s="375"/>
      <c r="AP9" s="376"/>
      <c r="AQ9" s="376"/>
      <c r="AR9" s="376"/>
      <c r="AS9" s="376"/>
      <c r="AT9" s="377"/>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3">
      <c r="A10" s="84"/>
      <c r="B10" s="313"/>
      <c r="C10" s="313"/>
      <c r="D10" s="314"/>
      <c r="E10" s="354"/>
      <c r="F10" s="355"/>
      <c r="G10" s="355"/>
      <c r="H10" s="355"/>
      <c r="I10" s="356"/>
      <c r="J10" s="52" t="str">
        <f>IF(AND('Mapa final'!$AA$35="Muy Alta",'Mapa final'!$AC$35="Leve"),CONCATENATE("R5C",'Mapa final'!$Q$35),"")</f>
        <v/>
      </c>
      <c r="K10" s="53" t="str">
        <f>IF(AND('Mapa final'!$AA$36="Muy Alta",'Mapa final'!$AC$36="Leve"),CONCATENATE("R5C",'Mapa final'!$Q$36),"")</f>
        <v/>
      </c>
      <c r="L10" s="58" t="str">
        <f>IF(AND('Mapa final'!$AA$37="Muy Alta",'Mapa final'!$AC$37="Leve"),CONCATENATE("R5C",'Mapa final'!$Q$37),"")</f>
        <v/>
      </c>
      <c r="M10" s="58" t="str">
        <f>IF(AND('Mapa final'!$AA$38="Muy Alta",'Mapa final'!$AC$38="Leve"),CONCATENATE("R5C",'Mapa final'!$Q$38),"")</f>
        <v/>
      </c>
      <c r="N10" s="58" t="str">
        <f>IF(AND('Mapa final'!$AA$39="Muy Alta",'Mapa final'!$AC$39="Leve"),CONCATENATE("R5C",'Mapa final'!$Q$39),"")</f>
        <v/>
      </c>
      <c r="O10" s="54" t="str">
        <f>IF(AND('Mapa final'!$AA$40="Muy Alta",'Mapa final'!$AC$40="Leve"),CONCATENATE("R5C",'Mapa final'!$Q$40),"")</f>
        <v/>
      </c>
      <c r="P10" s="52" t="str">
        <f>IF(AND('Mapa final'!$AA$35="Muy Alta",'Mapa final'!$AC$35="Menor"),CONCATENATE("R5C",'Mapa final'!$Q$35),"")</f>
        <v/>
      </c>
      <c r="Q10" s="53" t="str">
        <f>IF(AND('Mapa final'!$AA$36="Muy Alta",'Mapa final'!$AC$36="Menor"),CONCATENATE("R5C",'Mapa final'!$Q$36),"")</f>
        <v/>
      </c>
      <c r="R10" s="58" t="str">
        <f>IF(AND('Mapa final'!$AA$37="Muy Alta",'Mapa final'!$AC$37="Menor"),CONCATENATE("R5C",'Mapa final'!$Q$37),"")</f>
        <v/>
      </c>
      <c r="S10" s="58" t="str">
        <f>IF(AND('Mapa final'!$AA$38="Muy Alta",'Mapa final'!$AC$38="Menor"),CONCATENATE("R5C",'Mapa final'!$Q$38),"")</f>
        <v/>
      </c>
      <c r="T10" s="58" t="str">
        <f>IF(AND('Mapa final'!$AA$39="Muy Alta",'Mapa final'!$AC$39="Menor"),CONCATENATE("R5C",'Mapa final'!$Q$39),"")</f>
        <v/>
      </c>
      <c r="U10" s="54" t="str">
        <f>IF(AND('Mapa final'!$AA$40="Muy Alta",'Mapa final'!$AC$40="Menor"),CONCATENATE("R5C",'Mapa final'!$Q$40),"")</f>
        <v/>
      </c>
      <c r="V10" s="52" t="str">
        <f>IF(AND('Mapa final'!$AA$35="Muy Alta",'Mapa final'!$AC$35="Moderado"),CONCATENATE("R5C",'Mapa final'!$Q$35),"")</f>
        <v/>
      </c>
      <c r="W10" s="53" t="str">
        <f>IF(AND('Mapa final'!$AA$36="Muy Alta",'Mapa final'!$AC$36="Moderado"),CONCATENATE("R5C",'Mapa final'!$Q$36),"")</f>
        <v/>
      </c>
      <c r="X10" s="58" t="str">
        <f>IF(AND('Mapa final'!$AA$37="Muy Alta",'Mapa final'!$AC$37="Moderado"),CONCATENATE("R5C",'Mapa final'!$Q$37),"")</f>
        <v/>
      </c>
      <c r="Y10" s="58" t="str">
        <f>IF(AND('Mapa final'!$AA$38="Muy Alta",'Mapa final'!$AC$38="Moderado"),CONCATENATE("R5C",'Mapa final'!$Q$38),"")</f>
        <v/>
      </c>
      <c r="Z10" s="58" t="str">
        <f>IF(AND('Mapa final'!$AA$39="Muy Alta",'Mapa final'!$AC$39="Moderado"),CONCATENATE("R5C",'Mapa final'!$Q$39),"")</f>
        <v/>
      </c>
      <c r="AA10" s="54" t="str">
        <f>IF(AND('Mapa final'!$AA$40="Muy Alta",'Mapa final'!$AC$40="Moderado"),CONCATENATE("R5C",'Mapa final'!$Q$40),"")</f>
        <v/>
      </c>
      <c r="AB10" s="52" t="str">
        <f>IF(AND('Mapa final'!$AA$35="Muy Alta",'Mapa final'!$AC$35="Mayor"),CONCATENATE("R5C",'Mapa final'!$Q$35),"")</f>
        <v/>
      </c>
      <c r="AC10" s="53" t="str">
        <f>IF(AND('Mapa final'!$AA$36="Muy Alta",'Mapa final'!$AC$36="Mayor"),CONCATENATE("R5C",'Mapa final'!$Q$36),"")</f>
        <v/>
      </c>
      <c r="AD10" s="58" t="str">
        <f>IF(AND('Mapa final'!$AA$37="Muy Alta",'Mapa final'!$AC$37="Mayor"),CONCATENATE("R5C",'Mapa final'!$Q$37),"")</f>
        <v/>
      </c>
      <c r="AE10" s="58" t="str">
        <f>IF(AND('Mapa final'!$AA$38="Muy Alta",'Mapa final'!$AC$38="Mayor"),CONCATENATE("R5C",'Mapa final'!$Q$38),"")</f>
        <v/>
      </c>
      <c r="AF10" s="58" t="str">
        <f>IF(AND('Mapa final'!$AA$39="Muy Alta",'Mapa final'!$AC$39="Mayor"),CONCATENATE("R5C",'Mapa final'!$Q$39),"")</f>
        <v/>
      </c>
      <c r="AG10" s="54" t="str">
        <f>IF(AND('Mapa final'!$AA$40="Muy Alta",'Mapa final'!$AC$40="Mayor"),CONCATENATE("R5C",'Mapa final'!$Q$40),"")</f>
        <v/>
      </c>
      <c r="AH10" s="55" t="str">
        <f>IF(AND('Mapa final'!$AA$35="Muy Alta",'Mapa final'!$AC$35="Catastrófico"),CONCATENATE("R5C",'Mapa final'!$Q$35),"")</f>
        <v/>
      </c>
      <c r="AI10" s="56" t="str">
        <f>IF(AND('Mapa final'!$AA$36="Muy Alta",'Mapa final'!$AC$36="Catastrófico"),CONCATENATE("R5C",'Mapa final'!$Q$36),"")</f>
        <v/>
      </c>
      <c r="AJ10" s="56" t="str">
        <f>IF(AND('Mapa final'!$AA$37="Muy Alta",'Mapa final'!$AC$37="Catastrófico"),CONCATENATE("R5C",'Mapa final'!$Q$37),"")</f>
        <v/>
      </c>
      <c r="AK10" s="56" t="str">
        <f>IF(AND('Mapa final'!$AA$38="Muy Alta",'Mapa final'!$AC$38="Catastrófico"),CONCATENATE("R5C",'Mapa final'!$Q$38),"")</f>
        <v/>
      </c>
      <c r="AL10" s="56" t="str">
        <f>IF(AND('Mapa final'!$AA$39="Muy Alta",'Mapa final'!$AC$39="Catastrófico"),CONCATENATE("R5C",'Mapa final'!$Q$39),"")</f>
        <v/>
      </c>
      <c r="AM10" s="57" t="str">
        <f>IF(AND('Mapa final'!$AA$40="Muy Alta",'Mapa final'!$AC$40="Catastrófico"),CONCATENATE("R5C",'Mapa final'!$Q$40),"")</f>
        <v/>
      </c>
      <c r="AN10" s="84"/>
      <c r="AO10" s="375"/>
      <c r="AP10" s="376"/>
      <c r="AQ10" s="376"/>
      <c r="AR10" s="376"/>
      <c r="AS10" s="376"/>
      <c r="AT10" s="377"/>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3">
      <c r="A11" s="84"/>
      <c r="B11" s="313"/>
      <c r="C11" s="313"/>
      <c r="D11" s="314"/>
      <c r="E11" s="354"/>
      <c r="F11" s="355"/>
      <c r="G11" s="355"/>
      <c r="H11" s="355"/>
      <c r="I11" s="356"/>
      <c r="J11" s="52" t="str">
        <f>IF(AND('Mapa final'!$AA$41="Muy Alta",'Mapa final'!$AC$41="Leve"),CONCATENATE("R6C",'Mapa final'!$Q$41),"")</f>
        <v/>
      </c>
      <c r="K11" s="53" t="str">
        <f>IF(AND('Mapa final'!$AA$42="Muy Alta",'Mapa final'!$AC$42="Leve"),CONCATENATE("R6C",'Mapa final'!$Q$42),"")</f>
        <v/>
      </c>
      <c r="L11" s="58" t="str">
        <f>IF(AND('Mapa final'!$AA$43="Muy Alta",'Mapa final'!$AC$43="Leve"),CONCATENATE("R6C",'Mapa final'!$Q$43),"")</f>
        <v/>
      </c>
      <c r="M11" s="58" t="str">
        <f>IF(AND('Mapa final'!$AA$44="Muy Alta",'Mapa final'!$AC$44="Leve"),CONCATENATE("R6C",'Mapa final'!$Q$44),"")</f>
        <v/>
      </c>
      <c r="N11" s="58" t="str">
        <f>IF(AND('Mapa final'!$AA$45="Muy Alta",'Mapa final'!$AC$45="Leve"),CONCATENATE("R6C",'Mapa final'!$Q$45),"")</f>
        <v/>
      </c>
      <c r="O11" s="54" t="str">
        <f>IF(AND('Mapa final'!$AA$46="Muy Alta",'Mapa final'!$AC$46="Leve"),CONCATENATE("R6C",'Mapa final'!$Q$46),"")</f>
        <v/>
      </c>
      <c r="P11" s="52" t="str">
        <f>IF(AND('Mapa final'!$AA$41="Muy Alta",'Mapa final'!$AC$41="Menor"),CONCATENATE("R6C",'Mapa final'!$Q$41),"")</f>
        <v/>
      </c>
      <c r="Q11" s="53" t="str">
        <f>IF(AND('Mapa final'!$AA$42="Muy Alta",'Mapa final'!$AC$42="Menor"),CONCATENATE("R6C",'Mapa final'!$Q$42),"")</f>
        <v/>
      </c>
      <c r="R11" s="58" t="str">
        <f>IF(AND('Mapa final'!$AA$43="Muy Alta",'Mapa final'!$AC$43="Menor"),CONCATENATE("R6C",'Mapa final'!$Q$43),"")</f>
        <v/>
      </c>
      <c r="S11" s="58" t="str">
        <f>IF(AND('Mapa final'!$AA$44="Muy Alta",'Mapa final'!$AC$44="Menor"),CONCATENATE("R6C",'Mapa final'!$Q$44),"")</f>
        <v/>
      </c>
      <c r="T11" s="58" t="str">
        <f>IF(AND('Mapa final'!$AA$45="Muy Alta",'Mapa final'!$AC$45="Menor"),CONCATENATE("R6C",'Mapa final'!$Q$45),"")</f>
        <v/>
      </c>
      <c r="U11" s="54" t="str">
        <f>IF(AND('Mapa final'!$AA$46="Muy Alta",'Mapa final'!$AC$46="Menor"),CONCATENATE("R6C",'Mapa final'!$Q$46),"")</f>
        <v/>
      </c>
      <c r="V11" s="52" t="str">
        <f>IF(AND('Mapa final'!$AA$41="Muy Alta",'Mapa final'!$AC$41="Moderado"),CONCATENATE("R6C",'Mapa final'!$Q$41),"")</f>
        <v/>
      </c>
      <c r="W11" s="53" t="str">
        <f>IF(AND('Mapa final'!$AA$42="Muy Alta",'Mapa final'!$AC$42="Moderado"),CONCATENATE("R6C",'Mapa final'!$Q$42),"")</f>
        <v/>
      </c>
      <c r="X11" s="58" t="str">
        <f>IF(AND('Mapa final'!$AA$43="Muy Alta",'Mapa final'!$AC$43="Moderado"),CONCATENATE("R6C",'Mapa final'!$Q$43),"")</f>
        <v/>
      </c>
      <c r="Y11" s="58" t="str">
        <f>IF(AND('Mapa final'!$AA$44="Muy Alta",'Mapa final'!$AC$44="Moderado"),CONCATENATE("R6C",'Mapa final'!$Q$44),"")</f>
        <v/>
      </c>
      <c r="Z11" s="58" t="str">
        <f>IF(AND('Mapa final'!$AA$45="Muy Alta",'Mapa final'!$AC$45="Moderado"),CONCATENATE("R6C",'Mapa final'!$Q$45),"")</f>
        <v/>
      </c>
      <c r="AA11" s="54" t="str">
        <f>IF(AND('Mapa final'!$AA$46="Muy Alta",'Mapa final'!$AC$46="Moderado"),CONCATENATE("R6C",'Mapa final'!$Q$46),"")</f>
        <v/>
      </c>
      <c r="AB11" s="52" t="str">
        <f>IF(AND('Mapa final'!$AA$41="Muy Alta",'Mapa final'!$AC$41="Mayor"),CONCATENATE("R6C",'Mapa final'!$Q$41),"")</f>
        <v/>
      </c>
      <c r="AC11" s="53" t="str">
        <f>IF(AND('Mapa final'!$AA$42="Muy Alta",'Mapa final'!$AC$42="Mayor"),CONCATENATE("R6C",'Mapa final'!$Q$42),"")</f>
        <v/>
      </c>
      <c r="AD11" s="58" t="str">
        <f>IF(AND('Mapa final'!$AA$43="Muy Alta",'Mapa final'!$AC$43="Mayor"),CONCATENATE("R6C",'Mapa final'!$Q$43),"")</f>
        <v/>
      </c>
      <c r="AE11" s="58" t="str">
        <f>IF(AND('Mapa final'!$AA$44="Muy Alta",'Mapa final'!$AC$44="Mayor"),CONCATENATE("R6C",'Mapa final'!$Q$44),"")</f>
        <v/>
      </c>
      <c r="AF11" s="58" t="str">
        <f>IF(AND('Mapa final'!$AA$45="Muy Alta",'Mapa final'!$AC$45="Mayor"),CONCATENATE("R6C",'Mapa final'!$Q$45),"")</f>
        <v/>
      </c>
      <c r="AG11" s="54" t="str">
        <f>IF(AND('Mapa final'!$AA$46="Muy Alta",'Mapa final'!$AC$46="Mayor"),CONCATENATE("R6C",'Mapa final'!$Q$46),"")</f>
        <v/>
      </c>
      <c r="AH11" s="55" t="str">
        <f>IF(AND('Mapa final'!$AA$41="Muy Alta",'Mapa final'!$AC$41="Catastrófico"),CONCATENATE("R6C",'Mapa final'!$Q$41),"")</f>
        <v/>
      </c>
      <c r="AI11" s="56" t="str">
        <f>IF(AND('Mapa final'!$AA$42="Muy Alta",'Mapa final'!$AC$42="Catastrófico"),CONCATENATE("R6C",'Mapa final'!$Q$42),"")</f>
        <v/>
      </c>
      <c r="AJ11" s="56" t="str">
        <f>IF(AND('Mapa final'!$AA$43="Muy Alta",'Mapa final'!$AC$43="Catastrófico"),CONCATENATE("R6C",'Mapa final'!$Q$43),"")</f>
        <v/>
      </c>
      <c r="AK11" s="56" t="str">
        <f>IF(AND('Mapa final'!$AA$44="Muy Alta",'Mapa final'!$AC$44="Catastrófico"),CONCATENATE("R6C",'Mapa final'!$Q$44),"")</f>
        <v/>
      </c>
      <c r="AL11" s="56" t="str">
        <f>IF(AND('Mapa final'!$AA$45="Muy Alta",'Mapa final'!$AC$45="Catastrófico"),CONCATENATE("R6C",'Mapa final'!$Q$45),"")</f>
        <v/>
      </c>
      <c r="AM11" s="57" t="str">
        <f>IF(AND('Mapa final'!$AA$46="Muy Alta",'Mapa final'!$AC$46="Catastrófico"),CONCATENATE("R6C",'Mapa final'!$Q$46),"")</f>
        <v/>
      </c>
      <c r="AN11" s="84"/>
      <c r="AO11" s="375"/>
      <c r="AP11" s="376"/>
      <c r="AQ11" s="376"/>
      <c r="AR11" s="376"/>
      <c r="AS11" s="376"/>
      <c r="AT11" s="377"/>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3">
      <c r="A12" s="84"/>
      <c r="B12" s="313"/>
      <c r="C12" s="313"/>
      <c r="D12" s="314"/>
      <c r="E12" s="354"/>
      <c r="F12" s="355"/>
      <c r="G12" s="355"/>
      <c r="H12" s="355"/>
      <c r="I12" s="356"/>
      <c r="J12" s="52" t="str">
        <f>IF(AND('Mapa final'!$AA$47="Muy Alta",'Mapa final'!$AC$47="Leve"),CONCATENATE("R7C",'Mapa final'!$Q$47),"")</f>
        <v/>
      </c>
      <c r="K12" s="53" t="str">
        <f>IF(AND('Mapa final'!$AA$48="Muy Alta",'Mapa final'!$AC$48="Leve"),CONCATENATE("R7C",'Mapa final'!$Q$48),"")</f>
        <v/>
      </c>
      <c r="L12" s="58" t="str">
        <f>IF(AND('Mapa final'!$AA$49="Muy Alta",'Mapa final'!$AC$49="Leve"),CONCATENATE("R7C",'Mapa final'!$Q$49),"")</f>
        <v/>
      </c>
      <c r="M12" s="58" t="str">
        <f>IF(AND('Mapa final'!$AA$50="Muy Alta",'Mapa final'!$AC$50="Leve"),CONCATENATE("R7C",'Mapa final'!$Q$50),"")</f>
        <v/>
      </c>
      <c r="N12" s="58" t="str">
        <f>IF(AND('Mapa final'!$AA$51="Muy Alta",'Mapa final'!$AC$51="Leve"),CONCATENATE("R7C",'Mapa final'!$Q$51),"")</f>
        <v/>
      </c>
      <c r="O12" s="54" t="str">
        <f>IF(AND('Mapa final'!$AA$52="Muy Alta",'Mapa final'!$AC$52="Leve"),CONCATENATE("R7C",'Mapa final'!$Q$52),"")</f>
        <v/>
      </c>
      <c r="P12" s="52" t="str">
        <f>IF(AND('Mapa final'!$AA$47="Muy Alta",'Mapa final'!$AC$47="Menor"),CONCATENATE("R7C",'Mapa final'!$Q$47),"")</f>
        <v/>
      </c>
      <c r="Q12" s="53" t="str">
        <f>IF(AND('Mapa final'!$AA$48="Muy Alta",'Mapa final'!$AC$48="Menor"),CONCATENATE("R7C",'Mapa final'!$Q$48),"")</f>
        <v/>
      </c>
      <c r="R12" s="58" t="str">
        <f>IF(AND('Mapa final'!$AA$49="Muy Alta",'Mapa final'!$AC$49="Menor"),CONCATENATE("R7C",'Mapa final'!$Q$49),"")</f>
        <v/>
      </c>
      <c r="S12" s="58" t="str">
        <f>IF(AND('Mapa final'!$AA$50="Muy Alta",'Mapa final'!$AC$50="Menor"),CONCATENATE("R7C",'Mapa final'!$Q$50),"")</f>
        <v/>
      </c>
      <c r="T12" s="58" t="str">
        <f>IF(AND('Mapa final'!$AA$51="Muy Alta",'Mapa final'!$AC$51="Menor"),CONCATENATE("R7C",'Mapa final'!$Q$51),"")</f>
        <v/>
      </c>
      <c r="U12" s="54" t="str">
        <f>IF(AND('Mapa final'!$AA$52="Muy Alta",'Mapa final'!$AC$52="Menor"),CONCATENATE("R7C",'Mapa final'!$Q$52),"")</f>
        <v/>
      </c>
      <c r="V12" s="52" t="str">
        <f>IF(AND('Mapa final'!$AA$47="Muy Alta",'Mapa final'!$AC$47="Moderado"),CONCATENATE("R7C",'Mapa final'!$Q$47),"")</f>
        <v/>
      </c>
      <c r="W12" s="53" t="str">
        <f>IF(AND('Mapa final'!$AA$48="Muy Alta",'Mapa final'!$AC$48="Moderado"),CONCATENATE("R7C",'Mapa final'!$Q$48),"")</f>
        <v/>
      </c>
      <c r="X12" s="58" t="str">
        <f>IF(AND('Mapa final'!$AA$49="Muy Alta",'Mapa final'!$AC$49="Moderado"),CONCATENATE("R7C",'Mapa final'!$Q$49),"")</f>
        <v/>
      </c>
      <c r="Y12" s="58" t="str">
        <f>IF(AND('Mapa final'!$AA$50="Muy Alta",'Mapa final'!$AC$50="Moderado"),CONCATENATE("R7C",'Mapa final'!$Q$50),"")</f>
        <v/>
      </c>
      <c r="Z12" s="58" t="str">
        <f>IF(AND('Mapa final'!$AA$51="Muy Alta",'Mapa final'!$AC$51="Moderado"),CONCATENATE("R7C",'Mapa final'!$Q$51),"")</f>
        <v/>
      </c>
      <c r="AA12" s="54" t="str">
        <f>IF(AND('Mapa final'!$AA$52="Muy Alta",'Mapa final'!$AC$52="Moderado"),CONCATENATE("R7C",'Mapa final'!$Q$52),"")</f>
        <v/>
      </c>
      <c r="AB12" s="52" t="str">
        <f>IF(AND('Mapa final'!$AA$47="Muy Alta",'Mapa final'!$AC$47="Mayor"),CONCATENATE("R7C",'Mapa final'!$Q$47),"")</f>
        <v/>
      </c>
      <c r="AC12" s="53" t="str">
        <f>IF(AND('Mapa final'!$AA$48="Muy Alta",'Mapa final'!$AC$48="Mayor"),CONCATENATE("R7C",'Mapa final'!$Q$48),"")</f>
        <v/>
      </c>
      <c r="AD12" s="58" t="str">
        <f>IF(AND('Mapa final'!$AA$49="Muy Alta",'Mapa final'!$AC$49="Mayor"),CONCATENATE("R7C",'Mapa final'!$Q$49),"")</f>
        <v/>
      </c>
      <c r="AE12" s="58" t="str">
        <f>IF(AND('Mapa final'!$AA$50="Muy Alta",'Mapa final'!$AC$50="Mayor"),CONCATENATE("R7C",'Mapa final'!$Q$50),"")</f>
        <v/>
      </c>
      <c r="AF12" s="58" t="str">
        <f>IF(AND('Mapa final'!$AA$51="Muy Alta",'Mapa final'!$AC$51="Mayor"),CONCATENATE("R7C",'Mapa final'!$Q$51),"")</f>
        <v/>
      </c>
      <c r="AG12" s="54" t="str">
        <f>IF(AND('Mapa final'!$AA$52="Muy Alta",'Mapa final'!$AC$52="Mayor"),CONCATENATE("R7C",'Mapa final'!$Q$52),"")</f>
        <v/>
      </c>
      <c r="AH12" s="55" t="str">
        <f>IF(AND('Mapa final'!$AA$47="Muy Alta",'Mapa final'!$AC$47="Catastrófico"),CONCATENATE("R7C",'Mapa final'!$Q$47),"")</f>
        <v/>
      </c>
      <c r="AI12" s="56" t="str">
        <f>IF(AND('Mapa final'!$AA$48="Muy Alta",'Mapa final'!$AC$48="Catastrófico"),CONCATENATE("R7C",'Mapa final'!$Q$48),"")</f>
        <v/>
      </c>
      <c r="AJ12" s="56" t="str">
        <f>IF(AND('Mapa final'!$AA$49="Muy Alta",'Mapa final'!$AC$49="Catastrófico"),CONCATENATE("R7C",'Mapa final'!$Q$49),"")</f>
        <v/>
      </c>
      <c r="AK12" s="56" t="str">
        <f>IF(AND('Mapa final'!$AA$50="Muy Alta",'Mapa final'!$AC$50="Catastrófico"),CONCATENATE("R7C",'Mapa final'!$Q$50),"")</f>
        <v/>
      </c>
      <c r="AL12" s="56" t="str">
        <f>IF(AND('Mapa final'!$AA$51="Muy Alta",'Mapa final'!$AC$51="Catastrófico"),CONCATENATE("R7C",'Mapa final'!$Q$51),"")</f>
        <v/>
      </c>
      <c r="AM12" s="57" t="str">
        <f>IF(AND('Mapa final'!$AA$52="Muy Alta",'Mapa final'!$AC$52="Catastrófico"),CONCATENATE("R7C",'Mapa final'!$Q$52),"")</f>
        <v/>
      </c>
      <c r="AN12" s="84"/>
      <c r="AO12" s="375"/>
      <c r="AP12" s="376"/>
      <c r="AQ12" s="376"/>
      <c r="AR12" s="376"/>
      <c r="AS12" s="376"/>
      <c r="AT12" s="377"/>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3">
      <c r="A13" s="84"/>
      <c r="B13" s="313"/>
      <c r="C13" s="313"/>
      <c r="D13" s="314"/>
      <c r="E13" s="354"/>
      <c r="F13" s="355"/>
      <c r="G13" s="355"/>
      <c r="H13" s="355"/>
      <c r="I13" s="356"/>
      <c r="J13" s="52" t="str">
        <f>IF(AND('Mapa final'!$AA$53="Muy Alta",'Mapa final'!$AC$53="Leve"),CONCATENATE("R8C",'Mapa final'!$Q$53),"")</f>
        <v/>
      </c>
      <c r="K13" s="53" t="str">
        <f>IF(AND('Mapa final'!$AA$54="Muy Alta",'Mapa final'!$AC$54="Leve"),CONCATENATE("R8C",'Mapa final'!$Q$54),"")</f>
        <v/>
      </c>
      <c r="L13" s="58" t="str">
        <f>IF(AND('Mapa final'!$AA$55="Muy Alta",'Mapa final'!$AC$55="Leve"),CONCATENATE("R8C",'Mapa final'!$Q$55),"")</f>
        <v/>
      </c>
      <c r="M13" s="58" t="str">
        <f>IF(AND('Mapa final'!$AA$56="Muy Alta",'Mapa final'!$AC$56="Leve"),CONCATENATE("R8C",'Mapa final'!$Q$56),"")</f>
        <v/>
      </c>
      <c r="N13" s="58" t="str">
        <f>IF(AND('Mapa final'!$AA$57="Muy Alta",'Mapa final'!$AC$57="Leve"),CONCATENATE("R8C",'Mapa final'!$Q$57),"")</f>
        <v/>
      </c>
      <c r="O13" s="54" t="str">
        <f>IF(AND('Mapa final'!$AA$58="Muy Alta",'Mapa final'!$AC$58="Leve"),CONCATENATE("R8C",'Mapa final'!$Q$58),"")</f>
        <v/>
      </c>
      <c r="P13" s="52" t="str">
        <f>IF(AND('Mapa final'!$AA$53="Muy Alta",'Mapa final'!$AC$53="Menor"),CONCATENATE("R8C",'Mapa final'!$Q$53),"")</f>
        <v/>
      </c>
      <c r="Q13" s="53" t="str">
        <f>IF(AND('Mapa final'!$AA$54="Muy Alta",'Mapa final'!$AC$54="Menor"),CONCATENATE("R8C",'Mapa final'!$Q$54),"")</f>
        <v/>
      </c>
      <c r="R13" s="58" t="str">
        <f>IF(AND('Mapa final'!$AA$55="Muy Alta",'Mapa final'!$AC$55="Menor"),CONCATENATE("R8C",'Mapa final'!$Q$55),"")</f>
        <v/>
      </c>
      <c r="S13" s="58" t="str">
        <f>IF(AND('Mapa final'!$AA$56="Muy Alta",'Mapa final'!$AC$56="Menor"),CONCATENATE("R8C",'Mapa final'!$Q$56),"")</f>
        <v/>
      </c>
      <c r="T13" s="58" t="str">
        <f>IF(AND('Mapa final'!$AA$57="Muy Alta",'Mapa final'!$AC$57="Menor"),CONCATENATE("R8C",'Mapa final'!$Q$57),"")</f>
        <v/>
      </c>
      <c r="U13" s="54" t="str">
        <f>IF(AND('Mapa final'!$AA$58="Muy Alta",'Mapa final'!$AC$58="Menor"),CONCATENATE("R8C",'Mapa final'!$Q$58),"")</f>
        <v/>
      </c>
      <c r="V13" s="52" t="str">
        <f>IF(AND('Mapa final'!$AA$53="Muy Alta",'Mapa final'!$AC$53="Moderado"),CONCATENATE("R8C",'Mapa final'!$Q$53),"")</f>
        <v/>
      </c>
      <c r="W13" s="53" t="str">
        <f>IF(AND('Mapa final'!$AA$54="Muy Alta",'Mapa final'!$AC$54="Moderado"),CONCATENATE("R8C",'Mapa final'!$Q$54),"")</f>
        <v/>
      </c>
      <c r="X13" s="58" t="str">
        <f>IF(AND('Mapa final'!$AA$55="Muy Alta",'Mapa final'!$AC$55="Moderado"),CONCATENATE("R8C",'Mapa final'!$Q$55),"")</f>
        <v/>
      </c>
      <c r="Y13" s="58" t="str">
        <f>IF(AND('Mapa final'!$AA$56="Muy Alta",'Mapa final'!$AC$56="Moderado"),CONCATENATE("R8C",'Mapa final'!$Q$56),"")</f>
        <v/>
      </c>
      <c r="Z13" s="58" t="str">
        <f>IF(AND('Mapa final'!$AA$57="Muy Alta",'Mapa final'!$AC$57="Moderado"),CONCATENATE("R8C",'Mapa final'!$Q$57),"")</f>
        <v/>
      </c>
      <c r="AA13" s="54" t="str">
        <f>IF(AND('Mapa final'!$AA$58="Muy Alta",'Mapa final'!$AC$58="Moderado"),CONCATENATE("R8C",'Mapa final'!$Q$58),"")</f>
        <v/>
      </c>
      <c r="AB13" s="52" t="str">
        <f>IF(AND('Mapa final'!$AA$53="Muy Alta",'Mapa final'!$AC$53="Mayor"),CONCATENATE("R8C",'Mapa final'!$Q$53),"")</f>
        <v/>
      </c>
      <c r="AC13" s="53" t="str">
        <f>IF(AND('Mapa final'!$AA$54="Muy Alta",'Mapa final'!$AC$54="Mayor"),CONCATENATE("R8C",'Mapa final'!$Q$54),"")</f>
        <v/>
      </c>
      <c r="AD13" s="58" t="str">
        <f>IF(AND('Mapa final'!$AA$55="Muy Alta",'Mapa final'!$AC$55="Mayor"),CONCATENATE("R8C",'Mapa final'!$Q$55),"")</f>
        <v/>
      </c>
      <c r="AE13" s="58" t="str">
        <f>IF(AND('Mapa final'!$AA$56="Muy Alta",'Mapa final'!$AC$56="Mayor"),CONCATENATE("R8C",'Mapa final'!$Q$56),"")</f>
        <v/>
      </c>
      <c r="AF13" s="58" t="str">
        <f>IF(AND('Mapa final'!$AA$57="Muy Alta",'Mapa final'!$AC$57="Mayor"),CONCATENATE("R8C",'Mapa final'!$Q$57),"")</f>
        <v/>
      </c>
      <c r="AG13" s="54" t="str">
        <f>IF(AND('Mapa final'!$AA$58="Muy Alta",'Mapa final'!$AC$58="Mayor"),CONCATENATE("R8C",'Mapa final'!$Q$58),"")</f>
        <v/>
      </c>
      <c r="AH13" s="55" t="str">
        <f>IF(AND('Mapa final'!$AA$53="Muy Alta",'Mapa final'!$AC$53="Catastrófico"),CONCATENATE("R8C",'Mapa final'!$Q$53),"")</f>
        <v/>
      </c>
      <c r="AI13" s="56" t="str">
        <f>IF(AND('Mapa final'!$AA$54="Muy Alta",'Mapa final'!$AC$54="Catastrófico"),CONCATENATE("R8C",'Mapa final'!$Q$54),"")</f>
        <v/>
      </c>
      <c r="AJ13" s="56" t="str">
        <f>IF(AND('Mapa final'!$AA$55="Muy Alta",'Mapa final'!$AC$55="Catastrófico"),CONCATENATE("R8C",'Mapa final'!$Q$55),"")</f>
        <v/>
      </c>
      <c r="AK13" s="56" t="str">
        <f>IF(AND('Mapa final'!$AA$56="Muy Alta",'Mapa final'!$AC$56="Catastrófico"),CONCATENATE("R8C",'Mapa final'!$Q$56),"")</f>
        <v/>
      </c>
      <c r="AL13" s="56" t="str">
        <f>IF(AND('Mapa final'!$AA$57="Muy Alta",'Mapa final'!$AC$57="Catastrófico"),CONCATENATE("R8C",'Mapa final'!$Q$57),"")</f>
        <v/>
      </c>
      <c r="AM13" s="57" t="str">
        <f>IF(AND('Mapa final'!$AA$58="Muy Alta",'Mapa final'!$AC$58="Catastrófico"),CONCATENATE("R8C",'Mapa final'!$Q$58),"")</f>
        <v/>
      </c>
      <c r="AN13" s="84"/>
      <c r="AO13" s="375"/>
      <c r="AP13" s="376"/>
      <c r="AQ13" s="376"/>
      <c r="AR13" s="376"/>
      <c r="AS13" s="376"/>
      <c r="AT13" s="377"/>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3">
      <c r="A14" s="84"/>
      <c r="B14" s="313"/>
      <c r="C14" s="313"/>
      <c r="D14" s="314"/>
      <c r="E14" s="354"/>
      <c r="F14" s="355"/>
      <c r="G14" s="355"/>
      <c r="H14" s="355"/>
      <c r="I14" s="356"/>
      <c r="J14" s="52" t="str">
        <f>IF(AND('Mapa final'!$AA$59="Muy Alta",'Mapa final'!$AC$59="Leve"),CONCATENATE("R9C",'Mapa final'!$Q$59),"")</f>
        <v/>
      </c>
      <c r="K14" s="53" t="str">
        <f>IF(AND('Mapa final'!$AA$60="Muy Alta",'Mapa final'!$AC$60="Leve"),CONCATENATE("R9C",'Mapa final'!$Q$60),"")</f>
        <v/>
      </c>
      <c r="L14" s="58" t="str">
        <f>IF(AND('Mapa final'!$AA$61="Muy Alta",'Mapa final'!$AC$61="Leve"),CONCATENATE("R9C",'Mapa final'!$Q$61),"")</f>
        <v/>
      </c>
      <c r="M14" s="58" t="str">
        <f>IF(AND('Mapa final'!$AA$62="Muy Alta",'Mapa final'!$AC$62="Leve"),CONCATENATE("R9C",'Mapa final'!$Q$62),"")</f>
        <v/>
      </c>
      <c r="N14" s="58" t="str">
        <f>IF(AND('Mapa final'!$AA$63="Muy Alta",'Mapa final'!$AC$63="Leve"),CONCATENATE("R9C",'Mapa final'!$Q$63),"")</f>
        <v/>
      </c>
      <c r="O14" s="54" t="str">
        <f>IF(AND('Mapa final'!$AA$64="Muy Alta",'Mapa final'!$AC$64="Leve"),CONCATENATE("R9C",'Mapa final'!$Q$64),"")</f>
        <v/>
      </c>
      <c r="P14" s="52" t="str">
        <f>IF(AND('Mapa final'!$AA$59="Muy Alta",'Mapa final'!$AC$59="Menor"),CONCATENATE("R9C",'Mapa final'!$Q$59),"")</f>
        <v/>
      </c>
      <c r="Q14" s="53" t="str">
        <f>IF(AND('Mapa final'!$AA$60="Muy Alta",'Mapa final'!$AC$60="Menor"),CONCATENATE("R9C",'Mapa final'!$Q$60),"")</f>
        <v/>
      </c>
      <c r="R14" s="58" t="str">
        <f>IF(AND('Mapa final'!$AA$61="Muy Alta",'Mapa final'!$AC$61="Menor"),CONCATENATE("R9C",'Mapa final'!$Q$61),"")</f>
        <v/>
      </c>
      <c r="S14" s="58" t="str">
        <f>IF(AND('Mapa final'!$AA$62="Muy Alta",'Mapa final'!$AC$62="Menor"),CONCATENATE("R9C",'Mapa final'!$Q$62),"")</f>
        <v/>
      </c>
      <c r="T14" s="58" t="str">
        <f>IF(AND('Mapa final'!$AA$63="Muy Alta",'Mapa final'!$AC$63="Menor"),CONCATENATE("R9C",'Mapa final'!$Q$63),"")</f>
        <v/>
      </c>
      <c r="U14" s="54" t="str">
        <f>IF(AND('Mapa final'!$AA$64="Muy Alta",'Mapa final'!$AC$64="Menor"),CONCATENATE("R9C",'Mapa final'!$Q$64),"")</f>
        <v/>
      </c>
      <c r="V14" s="52" t="str">
        <f>IF(AND('Mapa final'!$AA$59="Muy Alta",'Mapa final'!$AC$59="Moderado"),CONCATENATE("R9C",'Mapa final'!$Q$59),"")</f>
        <v/>
      </c>
      <c r="W14" s="53" t="str">
        <f>IF(AND('Mapa final'!$AA$60="Muy Alta",'Mapa final'!$AC$60="Moderado"),CONCATENATE("R9C",'Mapa final'!$Q$60),"")</f>
        <v/>
      </c>
      <c r="X14" s="58" t="str">
        <f>IF(AND('Mapa final'!$AA$61="Muy Alta",'Mapa final'!$AC$61="Moderado"),CONCATENATE("R9C",'Mapa final'!$Q$61),"")</f>
        <v/>
      </c>
      <c r="Y14" s="58" t="str">
        <f>IF(AND('Mapa final'!$AA$62="Muy Alta",'Mapa final'!$AC$62="Moderado"),CONCATENATE("R9C",'Mapa final'!$Q$62),"")</f>
        <v/>
      </c>
      <c r="Z14" s="58" t="str">
        <f>IF(AND('Mapa final'!$AA$63="Muy Alta",'Mapa final'!$AC$63="Moderado"),CONCATENATE("R9C",'Mapa final'!$Q$63),"")</f>
        <v/>
      </c>
      <c r="AA14" s="54" t="str">
        <f>IF(AND('Mapa final'!$AA$64="Muy Alta",'Mapa final'!$AC$64="Moderado"),CONCATENATE("R9C",'Mapa final'!$Q$64),"")</f>
        <v/>
      </c>
      <c r="AB14" s="52" t="str">
        <f>IF(AND('Mapa final'!$AA$59="Muy Alta",'Mapa final'!$AC$59="Mayor"),CONCATENATE("R9C",'Mapa final'!$Q$59),"")</f>
        <v/>
      </c>
      <c r="AC14" s="53" t="str">
        <f>IF(AND('Mapa final'!$AA$60="Muy Alta",'Mapa final'!$AC$60="Mayor"),CONCATENATE("R9C",'Mapa final'!$Q$60),"")</f>
        <v/>
      </c>
      <c r="AD14" s="58" t="str">
        <f>IF(AND('Mapa final'!$AA$61="Muy Alta",'Mapa final'!$AC$61="Mayor"),CONCATENATE("R9C",'Mapa final'!$Q$61),"")</f>
        <v/>
      </c>
      <c r="AE14" s="58" t="str">
        <f>IF(AND('Mapa final'!$AA$62="Muy Alta",'Mapa final'!$AC$62="Mayor"),CONCATENATE("R9C",'Mapa final'!$Q$62),"")</f>
        <v/>
      </c>
      <c r="AF14" s="58" t="str">
        <f>IF(AND('Mapa final'!$AA$63="Muy Alta",'Mapa final'!$AC$63="Mayor"),CONCATENATE("R9C",'Mapa final'!$Q$63),"")</f>
        <v/>
      </c>
      <c r="AG14" s="54" t="str">
        <f>IF(AND('Mapa final'!$AA$64="Muy Alta",'Mapa final'!$AC$64="Mayor"),CONCATENATE("R9C",'Mapa final'!$Q$64),"")</f>
        <v/>
      </c>
      <c r="AH14" s="55" t="str">
        <f>IF(AND('Mapa final'!$AA$59="Muy Alta",'Mapa final'!$AC$59="Catastrófico"),CONCATENATE("R9C",'Mapa final'!$Q$59),"")</f>
        <v/>
      </c>
      <c r="AI14" s="56" t="str">
        <f>IF(AND('Mapa final'!$AA$60="Muy Alta",'Mapa final'!$AC$60="Catastrófico"),CONCATENATE("R9C",'Mapa final'!$Q$60),"")</f>
        <v/>
      </c>
      <c r="AJ14" s="56" t="str">
        <f>IF(AND('Mapa final'!$AA$61="Muy Alta",'Mapa final'!$AC$61="Catastrófico"),CONCATENATE("R9C",'Mapa final'!$Q$61),"")</f>
        <v/>
      </c>
      <c r="AK14" s="56" t="str">
        <f>IF(AND('Mapa final'!$AA$62="Muy Alta",'Mapa final'!$AC$62="Catastrófico"),CONCATENATE("R9C",'Mapa final'!$Q$62),"")</f>
        <v/>
      </c>
      <c r="AL14" s="56" t="str">
        <f>IF(AND('Mapa final'!$AA$63="Muy Alta",'Mapa final'!$AC$63="Catastrófico"),CONCATENATE("R9C",'Mapa final'!$Q$63),"")</f>
        <v/>
      </c>
      <c r="AM14" s="57" t="str">
        <f>IF(AND('Mapa final'!$AA$64="Muy Alta",'Mapa final'!$AC$64="Catastrófico"),CONCATENATE("R9C",'Mapa final'!$Q$64),"")</f>
        <v/>
      </c>
      <c r="AN14" s="84"/>
      <c r="AO14" s="375"/>
      <c r="AP14" s="376"/>
      <c r="AQ14" s="376"/>
      <c r="AR14" s="376"/>
      <c r="AS14" s="376"/>
      <c r="AT14" s="377"/>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5">
      <c r="A15" s="84"/>
      <c r="B15" s="313"/>
      <c r="C15" s="313"/>
      <c r="D15" s="314"/>
      <c r="E15" s="357"/>
      <c r="F15" s="358"/>
      <c r="G15" s="358"/>
      <c r="H15" s="358"/>
      <c r="I15" s="359"/>
      <c r="J15" s="59" t="str">
        <f>IF(AND('Mapa final'!$AA$65="Muy Alta",'Mapa final'!$AC$65="Leve"),CONCATENATE("R10C",'Mapa final'!$Q$65),"")</f>
        <v/>
      </c>
      <c r="K15" s="60" t="str">
        <f>IF(AND('Mapa final'!$AA$66="Muy Alta",'Mapa final'!$AC$66="Leve"),CONCATENATE("R10C",'Mapa final'!$Q$66),"")</f>
        <v/>
      </c>
      <c r="L15" s="60" t="str">
        <f>IF(AND('Mapa final'!$AA$67="Muy Alta",'Mapa final'!$AC$67="Leve"),CONCATENATE("R10C",'Mapa final'!$Q$67),"")</f>
        <v/>
      </c>
      <c r="M15" s="60" t="str">
        <f>IF(AND('Mapa final'!$AA$68="Muy Alta",'Mapa final'!$AC$68="Leve"),CONCATENATE("R10C",'Mapa final'!$Q$68),"")</f>
        <v/>
      </c>
      <c r="N15" s="60" t="str">
        <f>IF(AND('Mapa final'!$AA$69="Muy Alta",'Mapa final'!$AC$69="Leve"),CONCATENATE("R10C",'Mapa final'!$Q$69),"")</f>
        <v/>
      </c>
      <c r="O15" s="61" t="str">
        <f>IF(AND('Mapa final'!$AA$70="Muy Alta",'Mapa final'!$AC$70="Leve"),CONCATENATE("R10C",'Mapa final'!$Q$70),"")</f>
        <v/>
      </c>
      <c r="P15" s="52" t="str">
        <f>IF(AND('Mapa final'!$AA$65="Muy Alta",'Mapa final'!$AC$65="Menor"),CONCATENATE("R10C",'Mapa final'!$Q$65),"")</f>
        <v/>
      </c>
      <c r="Q15" s="53" t="str">
        <f>IF(AND('Mapa final'!$AA$66="Muy Alta",'Mapa final'!$AC$66="Menor"),CONCATENATE("R10C",'Mapa final'!$Q$66),"")</f>
        <v/>
      </c>
      <c r="R15" s="53" t="str">
        <f>IF(AND('Mapa final'!$AA$67="Muy Alta",'Mapa final'!$AC$67="Menor"),CONCATENATE("R10C",'Mapa final'!$Q$67),"")</f>
        <v/>
      </c>
      <c r="S15" s="53" t="str">
        <f>IF(AND('Mapa final'!$AA$68="Muy Alta",'Mapa final'!$AC$68="Menor"),CONCATENATE("R10C",'Mapa final'!$Q$68),"")</f>
        <v/>
      </c>
      <c r="T15" s="53" t="str">
        <f>IF(AND('Mapa final'!$AA$69="Muy Alta",'Mapa final'!$AC$69="Menor"),CONCATENATE("R10C",'Mapa final'!$Q$69),"")</f>
        <v/>
      </c>
      <c r="U15" s="54" t="str">
        <f>IF(AND('Mapa final'!$AA$70="Muy Alta",'Mapa final'!$AC$70="Menor"),CONCATENATE("R10C",'Mapa final'!$Q$70),"")</f>
        <v/>
      </c>
      <c r="V15" s="59" t="str">
        <f>IF(AND('Mapa final'!$AA$65="Muy Alta",'Mapa final'!$AC$65="Moderado"),CONCATENATE("R10C",'Mapa final'!$Q$65),"")</f>
        <v/>
      </c>
      <c r="W15" s="60" t="str">
        <f>IF(AND('Mapa final'!$AA$66="Muy Alta",'Mapa final'!$AC$66="Moderado"),CONCATENATE("R10C",'Mapa final'!$Q$66),"")</f>
        <v/>
      </c>
      <c r="X15" s="60" t="str">
        <f>IF(AND('Mapa final'!$AA$67="Muy Alta",'Mapa final'!$AC$67="Moderado"),CONCATENATE("R10C",'Mapa final'!$Q$67),"")</f>
        <v/>
      </c>
      <c r="Y15" s="60" t="str">
        <f>IF(AND('Mapa final'!$AA$68="Muy Alta",'Mapa final'!$AC$68="Moderado"),CONCATENATE("R10C",'Mapa final'!$Q$68),"")</f>
        <v/>
      </c>
      <c r="Z15" s="60" t="str">
        <f>IF(AND('Mapa final'!$AA$69="Muy Alta",'Mapa final'!$AC$69="Moderado"),CONCATENATE("R10C",'Mapa final'!$Q$69),"")</f>
        <v/>
      </c>
      <c r="AA15" s="61" t="str">
        <f>IF(AND('Mapa final'!$AA$70="Muy Alta",'Mapa final'!$AC$70="Moderado"),CONCATENATE("R10C",'Mapa final'!$Q$70),"")</f>
        <v/>
      </c>
      <c r="AB15" s="52" t="str">
        <f>IF(AND('Mapa final'!$AA$65="Muy Alta",'Mapa final'!$AC$65="Mayor"),CONCATENATE("R10C",'Mapa final'!$Q$65),"")</f>
        <v/>
      </c>
      <c r="AC15" s="53" t="str">
        <f>IF(AND('Mapa final'!$AA$66="Muy Alta",'Mapa final'!$AC$66="Mayor"),CONCATENATE("R10C",'Mapa final'!$Q$66),"")</f>
        <v/>
      </c>
      <c r="AD15" s="53" t="str">
        <f>IF(AND('Mapa final'!$AA$67="Muy Alta",'Mapa final'!$AC$67="Mayor"),CONCATENATE("R10C",'Mapa final'!$Q$67),"")</f>
        <v/>
      </c>
      <c r="AE15" s="53" t="str">
        <f>IF(AND('Mapa final'!$AA$68="Muy Alta",'Mapa final'!$AC$68="Mayor"),CONCATENATE("R10C",'Mapa final'!$Q$68),"")</f>
        <v/>
      </c>
      <c r="AF15" s="53" t="str">
        <f>IF(AND('Mapa final'!$AA$69="Muy Alta",'Mapa final'!$AC$69="Mayor"),CONCATENATE("R10C",'Mapa final'!$Q$69),"")</f>
        <v/>
      </c>
      <c r="AG15" s="54" t="str">
        <f>IF(AND('Mapa final'!$AA$70="Muy Alta",'Mapa final'!$AC$70="Mayor"),CONCATENATE("R10C",'Mapa final'!$Q$70),"")</f>
        <v/>
      </c>
      <c r="AH15" s="62" t="str">
        <f>IF(AND('Mapa final'!$AA$65="Muy Alta",'Mapa final'!$AC$65="Catastrófico"),CONCATENATE("R10C",'Mapa final'!$Q$65),"")</f>
        <v/>
      </c>
      <c r="AI15" s="63" t="str">
        <f>IF(AND('Mapa final'!$AA$66="Muy Alta",'Mapa final'!$AC$66="Catastrófico"),CONCATENATE("R10C",'Mapa final'!$Q$66),"")</f>
        <v/>
      </c>
      <c r="AJ15" s="63" t="str">
        <f>IF(AND('Mapa final'!$AA$67="Muy Alta",'Mapa final'!$AC$67="Catastrófico"),CONCATENATE("R10C",'Mapa final'!$Q$67),"")</f>
        <v/>
      </c>
      <c r="AK15" s="63" t="str">
        <f>IF(AND('Mapa final'!$AA$68="Muy Alta",'Mapa final'!$AC$68="Catastrófico"),CONCATENATE("R10C",'Mapa final'!$Q$68),"")</f>
        <v/>
      </c>
      <c r="AL15" s="63" t="str">
        <f>IF(AND('Mapa final'!$AA$69="Muy Alta",'Mapa final'!$AC$69="Catastrófico"),CONCATENATE("R10C",'Mapa final'!$Q$69),"")</f>
        <v/>
      </c>
      <c r="AM15" s="64" t="str">
        <f>IF(AND('Mapa final'!$AA$70="Muy Alta",'Mapa final'!$AC$70="Catastrófico"),CONCATENATE("R10C",'Mapa final'!$Q$70),"")</f>
        <v/>
      </c>
      <c r="AN15" s="84"/>
      <c r="AO15" s="378"/>
      <c r="AP15" s="379"/>
      <c r="AQ15" s="379"/>
      <c r="AR15" s="379"/>
      <c r="AS15" s="379"/>
      <c r="AT15" s="380"/>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3">
      <c r="A16" s="84"/>
      <c r="B16" s="313"/>
      <c r="C16" s="313"/>
      <c r="D16" s="314"/>
      <c r="E16" s="351" t="s">
        <v>107</v>
      </c>
      <c r="F16" s="352"/>
      <c r="G16" s="352"/>
      <c r="H16" s="352"/>
      <c r="I16" s="352"/>
      <c r="J16" s="65" t="str">
        <f>IF(AND('Mapa final'!$AA$11="Alta",'Mapa final'!$AC$11="Leve"),CONCATENATE("R1C",'Mapa final'!$Q$11),"")</f>
        <v/>
      </c>
      <c r="K16" s="66" t="str">
        <f>IF(AND('Mapa final'!$AA$12="Alta",'Mapa final'!$AC$12="Leve"),CONCATENATE("R1C",'Mapa final'!$Q$12),"")</f>
        <v/>
      </c>
      <c r="L16" s="66" t="str">
        <f>IF(AND('Mapa final'!$AA$13="Alta",'Mapa final'!$AC$13="Leve"),CONCATENATE("R1C",'Mapa final'!$Q$13),"")</f>
        <v/>
      </c>
      <c r="M16" s="66" t="str">
        <f>IF(AND('Mapa final'!$AA$14="Alta",'Mapa final'!$AC$14="Leve"),CONCATENATE("R1C",'Mapa final'!$Q$14),"")</f>
        <v/>
      </c>
      <c r="N16" s="66" t="str">
        <f>IF(AND('Mapa final'!$AA$15="Alta",'Mapa final'!$AC$15="Leve"),CONCATENATE("R1C",'Mapa final'!$Q$15),"")</f>
        <v/>
      </c>
      <c r="O16" s="67" t="str">
        <f>IF(AND('Mapa final'!$AA$16="Alta",'Mapa final'!$AC$16="Leve"),CONCATENATE("R1C",'Mapa final'!$Q$16),"")</f>
        <v/>
      </c>
      <c r="P16" s="65" t="str">
        <f>IF(AND('Mapa final'!$AA$11="Alta",'Mapa final'!$AC$11="Menor"),CONCATENATE("R1C",'Mapa final'!$Q$11),"")</f>
        <v/>
      </c>
      <c r="Q16" s="66" t="str">
        <f>IF(AND('Mapa final'!$AA$12="Alta",'Mapa final'!$AC$12="Menor"),CONCATENATE("R1C",'Mapa final'!$Q$12),"")</f>
        <v/>
      </c>
      <c r="R16" s="66" t="str">
        <f>IF(AND('Mapa final'!$AA$13="Alta",'Mapa final'!$AC$13="Menor"),CONCATENATE("R1C",'Mapa final'!$Q$13),"")</f>
        <v/>
      </c>
      <c r="S16" s="66" t="str">
        <f>IF(AND('Mapa final'!$AA$14="Alta",'Mapa final'!$AC$14="Menor"),CONCATENATE("R1C",'Mapa final'!$Q$14),"")</f>
        <v/>
      </c>
      <c r="T16" s="66" t="str">
        <f>IF(AND('Mapa final'!$AA$15="Alta",'Mapa final'!$AC$15="Menor"),CONCATENATE("R1C",'Mapa final'!$Q$15),"")</f>
        <v/>
      </c>
      <c r="U16" s="67" t="str">
        <f>IF(AND('Mapa final'!$AA$16="Alta",'Mapa final'!$AC$16="Menor"),CONCATENATE("R1C",'Mapa final'!$Q$16),"")</f>
        <v/>
      </c>
      <c r="V16" s="46" t="str">
        <f>IF(AND('Mapa final'!$AA$11="Alta",'Mapa final'!$AC$11="Moderado"),CONCATENATE("R1C",'Mapa final'!$Q$11),"")</f>
        <v/>
      </c>
      <c r="W16" s="47" t="str">
        <f>IF(AND('Mapa final'!$AA$12="Alta",'Mapa final'!$AC$12="Moderado"),CONCATENATE("R1C",'Mapa final'!$Q$12),"")</f>
        <v/>
      </c>
      <c r="X16" s="47" t="str">
        <f>IF(AND('Mapa final'!$AA$13="Alta",'Mapa final'!$AC$13="Moderado"),CONCATENATE("R1C",'Mapa final'!$Q$13),"")</f>
        <v/>
      </c>
      <c r="Y16" s="47" t="str">
        <f>IF(AND('Mapa final'!$AA$14="Alta",'Mapa final'!$AC$14="Moderado"),CONCATENATE("R1C",'Mapa final'!$Q$14),"")</f>
        <v/>
      </c>
      <c r="Z16" s="47" t="str">
        <f>IF(AND('Mapa final'!$AA$15="Alta",'Mapa final'!$AC$15="Moderado"),CONCATENATE("R1C",'Mapa final'!$Q$15),"")</f>
        <v/>
      </c>
      <c r="AA16" s="48" t="str">
        <f>IF(AND('Mapa final'!$AA$16="Alta",'Mapa final'!$AC$16="Moderado"),CONCATENATE("R1C",'Mapa final'!$Q$16),"")</f>
        <v/>
      </c>
      <c r="AB16" s="46" t="str">
        <f>IF(AND('Mapa final'!$AA$11="Alta",'Mapa final'!$AC$11="Mayor"),CONCATENATE("R1C",'Mapa final'!$Q$11),"")</f>
        <v/>
      </c>
      <c r="AC16" s="47" t="str">
        <f>IF(AND('Mapa final'!$AA$12="Alta",'Mapa final'!$AC$12="Mayor"),CONCATENATE("R1C",'Mapa final'!$Q$12),"")</f>
        <v/>
      </c>
      <c r="AD16" s="47" t="str">
        <f>IF(AND('Mapa final'!$AA$13="Alta",'Mapa final'!$AC$13="Mayor"),CONCATENATE("R1C",'Mapa final'!$Q$13),"")</f>
        <v/>
      </c>
      <c r="AE16" s="47" t="str">
        <f>IF(AND('Mapa final'!$AA$14="Alta",'Mapa final'!$AC$14="Mayor"),CONCATENATE("R1C",'Mapa final'!$Q$14),"")</f>
        <v/>
      </c>
      <c r="AF16" s="47" t="str">
        <f>IF(AND('Mapa final'!$AA$15="Alta",'Mapa final'!$AC$15="Mayor"),CONCATENATE("R1C",'Mapa final'!$Q$15),"")</f>
        <v/>
      </c>
      <c r="AG16" s="48" t="str">
        <f>IF(AND('Mapa final'!$AA$16="Alta",'Mapa final'!$AC$16="Mayor"),CONCATENATE("R1C",'Mapa final'!$Q$16),"")</f>
        <v/>
      </c>
      <c r="AH16" s="49" t="str">
        <f>IF(AND('Mapa final'!$AA$11="Alta",'Mapa final'!$AC$11="Catastrófico"),CONCATENATE("R1C",'Mapa final'!$Q$11),"")</f>
        <v/>
      </c>
      <c r="AI16" s="50" t="str">
        <f>IF(AND('Mapa final'!$AA$12="Alta",'Mapa final'!$AC$12="Catastrófico"),CONCATENATE("R1C",'Mapa final'!$Q$12),"")</f>
        <v/>
      </c>
      <c r="AJ16" s="50" t="str">
        <f>IF(AND('Mapa final'!$AA$13="Alta",'Mapa final'!$AC$13="Catastrófico"),CONCATENATE("R1C",'Mapa final'!$Q$13),"")</f>
        <v/>
      </c>
      <c r="AK16" s="50" t="str">
        <f>IF(AND('Mapa final'!$AA$14="Alta",'Mapa final'!$AC$14="Catastrófico"),CONCATENATE("R1C",'Mapa final'!$Q$14),"")</f>
        <v/>
      </c>
      <c r="AL16" s="50" t="str">
        <f>IF(AND('Mapa final'!$AA$15="Alta",'Mapa final'!$AC$15="Catastrófico"),CONCATENATE("R1C",'Mapa final'!$Q$15),"")</f>
        <v/>
      </c>
      <c r="AM16" s="51" t="str">
        <f>IF(AND('Mapa final'!$AA$16="Alta",'Mapa final'!$AC$16="Catastrófico"),CONCATENATE("R1C",'Mapa final'!$Q$16),"")</f>
        <v/>
      </c>
      <c r="AN16" s="84"/>
      <c r="AO16" s="361" t="s">
        <v>77</v>
      </c>
      <c r="AP16" s="362"/>
      <c r="AQ16" s="362"/>
      <c r="AR16" s="362"/>
      <c r="AS16" s="362"/>
      <c r="AT16" s="363"/>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3">
      <c r="A17" s="84"/>
      <c r="B17" s="313"/>
      <c r="C17" s="313"/>
      <c r="D17" s="314"/>
      <c r="E17" s="370"/>
      <c r="F17" s="371"/>
      <c r="G17" s="371"/>
      <c r="H17" s="371"/>
      <c r="I17" s="371"/>
      <c r="J17" s="68" t="str">
        <f>IF(AND('Mapa final'!$AA$17="Alta",'Mapa final'!$AC$17="Leve"),CONCATENATE("R2C",'Mapa final'!$Q$17),"")</f>
        <v/>
      </c>
      <c r="K17" s="69" t="str">
        <f>IF(AND('Mapa final'!$AA$18="Alta",'Mapa final'!$AC$18="Leve"),CONCATENATE("R2C",'Mapa final'!$Q$18),"")</f>
        <v/>
      </c>
      <c r="L17" s="69" t="str">
        <f>IF(AND('Mapa final'!$AA$19="Alta",'Mapa final'!$AC$19="Leve"),CONCATENATE("R2C",'Mapa final'!$Q$19),"")</f>
        <v/>
      </c>
      <c r="M17" s="69" t="str">
        <f>IF(AND('Mapa final'!$AA$20="Alta",'Mapa final'!$AC$20="Leve"),CONCATENATE("R2C",'Mapa final'!$Q$20),"")</f>
        <v/>
      </c>
      <c r="N17" s="69" t="str">
        <f>IF(AND('Mapa final'!$AA$21="Alta",'Mapa final'!$AC$21="Leve"),CONCATENATE("R2C",'Mapa final'!$Q$21),"")</f>
        <v/>
      </c>
      <c r="O17" s="70" t="str">
        <f>IF(AND('Mapa final'!$AA$22="Alta",'Mapa final'!$AC$22="Leve"),CONCATENATE("R2C",'Mapa final'!$Q$22),"")</f>
        <v/>
      </c>
      <c r="P17" s="68" t="str">
        <f>IF(AND('Mapa final'!$AA$17="Alta",'Mapa final'!$AC$17="Menor"),CONCATENATE("R2C",'Mapa final'!$Q$17),"")</f>
        <v/>
      </c>
      <c r="Q17" s="69" t="str">
        <f>IF(AND('Mapa final'!$AA$18="Alta",'Mapa final'!$AC$18="Menor"),CONCATENATE("R2C",'Mapa final'!$Q$18),"")</f>
        <v/>
      </c>
      <c r="R17" s="69" t="str">
        <f>IF(AND('Mapa final'!$AA$19="Alta",'Mapa final'!$AC$19="Menor"),CONCATENATE("R2C",'Mapa final'!$Q$19),"")</f>
        <v/>
      </c>
      <c r="S17" s="69" t="str">
        <f>IF(AND('Mapa final'!$AA$20="Alta",'Mapa final'!$AC$20="Menor"),CONCATENATE("R2C",'Mapa final'!$Q$20),"")</f>
        <v/>
      </c>
      <c r="T17" s="69" t="str">
        <f>IF(AND('Mapa final'!$AA$21="Alta",'Mapa final'!$AC$21="Menor"),CONCATENATE("R2C",'Mapa final'!$Q$21),"")</f>
        <v/>
      </c>
      <c r="U17" s="70" t="str">
        <f>IF(AND('Mapa final'!$AA$22="Alta",'Mapa final'!$AC$22="Menor"),CONCATENATE("R2C",'Mapa final'!$Q$22),"")</f>
        <v/>
      </c>
      <c r="V17" s="52" t="str">
        <f>IF(AND('Mapa final'!$AA$17="Alta",'Mapa final'!$AC$17="Moderado"),CONCATENATE("R2C",'Mapa final'!$Q$17),"")</f>
        <v/>
      </c>
      <c r="W17" s="53" t="str">
        <f>IF(AND('Mapa final'!$AA$18="Alta",'Mapa final'!$AC$18="Moderado"),CONCATENATE("R2C",'Mapa final'!$Q$18),"")</f>
        <v/>
      </c>
      <c r="X17" s="53" t="str">
        <f>IF(AND('Mapa final'!$AA$19="Alta",'Mapa final'!$AC$19="Moderado"),CONCATENATE("R2C",'Mapa final'!$Q$19),"")</f>
        <v/>
      </c>
      <c r="Y17" s="53" t="str">
        <f>IF(AND('Mapa final'!$AA$20="Alta",'Mapa final'!$AC$20="Moderado"),CONCATENATE("R2C",'Mapa final'!$Q$20),"")</f>
        <v/>
      </c>
      <c r="Z17" s="53" t="str">
        <f>IF(AND('Mapa final'!$AA$21="Alta",'Mapa final'!$AC$21="Moderado"),CONCATENATE("R2C",'Mapa final'!$Q$21),"")</f>
        <v/>
      </c>
      <c r="AA17" s="54" t="str">
        <f>IF(AND('Mapa final'!$AA$22="Alta",'Mapa final'!$AC$22="Moderado"),CONCATENATE("R2C",'Mapa final'!$Q$22),"")</f>
        <v/>
      </c>
      <c r="AB17" s="52" t="str">
        <f>IF(AND('Mapa final'!$AA$17="Alta",'Mapa final'!$AC$17="Mayor"),CONCATENATE("R2C",'Mapa final'!$Q$17),"")</f>
        <v/>
      </c>
      <c r="AC17" s="53" t="str">
        <f>IF(AND('Mapa final'!$AA$18="Alta",'Mapa final'!$AC$18="Mayor"),CONCATENATE("R2C",'Mapa final'!$Q$18),"")</f>
        <v/>
      </c>
      <c r="AD17" s="53" t="str">
        <f>IF(AND('Mapa final'!$AA$19="Alta",'Mapa final'!$AC$19="Mayor"),CONCATENATE("R2C",'Mapa final'!$Q$19),"")</f>
        <v/>
      </c>
      <c r="AE17" s="53" t="str">
        <f>IF(AND('Mapa final'!$AA$20="Alta",'Mapa final'!$AC$20="Mayor"),CONCATENATE("R2C",'Mapa final'!$Q$20),"")</f>
        <v/>
      </c>
      <c r="AF17" s="53" t="str">
        <f>IF(AND('Mapa final'!$AA$21="Alta",'Mapa final'!$AC$21="Mayor"),CONCATENATE("R2C",'Mapa final'!$Q$21),"")</f>
        <v/>
      </c>
      <c r="AG17" s="54" t="str">
        <f>IF(AND('Mapa final'!$AA$22="Alta",'Mapa final'!$AC$22="Mayor"),CONCATENATE("R2C",'Mapa final'!$Q$22),"")</f>
        <v/>
      </c>
      <c r="AH17" s="55" t="str">
        <f>IF(AND('Mapa final'!$AA$17="Alta",'Mapa final'!$AC$17="Catastrófico"),CONCATENATE("R2C",'Mapa final'!$Q$17),"")</f>
        <v/>
      </c>
      <c r="AI17" s="56" t="str">
        <f>IF(AND('Mapa final'!$AA$18="Alta",'Mapa final'!$AC$18="Catastrófico"),CONCATENATE("R2C",'Mapa final'!$Q$18),"")</f>
        <v/>
      </c>
      <c r="AJ17" s="56" t="str">
        <f>IF(AND('Mapa final'!$AA$19="Alta",'Mapa final'!$AC$19="Catastrófico"),CONCATENATE("R2C",'Mapa final'!$Q$19),"")</f>
        <v/>
      </c>
      <c r="AK17" s="56" t="str">
        <f>IF(AND('Mapa final'!$AA$20="Alta",'Mapa final'!$AC$20="Catastrófico"),CONCATENATE("R2C",'Mapa final'!$Q$20),"")</f>
        <v/>
      </c>
      <c r="AL17" s="56" t="str">
        <f>IF(AND('Mapa final'!$AA$21="Alta",'Mapa final'!$AC$21="Catastrófico"),CONCATENATE("R2C",'Mapa final'!$Q$21),"")</f>
        <v/>
      </c>
      <c r="AM17" s="57" t="str">
        <f>IF(AND('Mapa final'!$AA$22="Alta",'Mapa final'!$AC$22="Catastrófico"),CONCATENATE("R2C",'Mapa final'!$Q$22),"")</f>
        <v/>
      </c>
      <c r="AN17" s="84"/>
      <c r="AO17" s="364"/>
      <c r="AP17" s="365"/>
      <c r="AQ17" s="365"/>
      <c r="AR17" s="365"/>
      <c r="AS17" s="365"/>
      <c r="AT17" s="366"/>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3">
      <c r="A18" s="84"/>
      <c r="B18" s="313"/>
      <c r="C18" s="313"/>
      <c r="D18" s="314"/>
      <c r="E18" s="354"/>
      <c r="F18" s="355"/>
      <c r="G18" s="355"/>
      <c r="H18" s="355"/>
      <c r="I18" s="371"/>
      <c r="J18" s="68" t="str">
        <f>IF(AND('Mapa final'!$AA$23="Alta",'Mapa final'!$AC$23="Leve"),CONCATENATE("R3C",'Mapa final'!$Q$23),"")</f>
        <v/>
      </c>
      <c r="K18" s="69" t="str">
        <f>IF(AND('Mapa final'!$AA$24="Alta",'Mapa final'!$AC$24="Leve"),CONCATENATE("R3C",'Mapa final'!$Q$24),"")</f>
        <v/>
      </c>
      <c r="L18" s="69" t="str">
        <f>IF(AND('Mapa final'!$AA$25="Alta",'Mapa final'!$AC$25="Leve"),CONCATENATE("R3C",'Mapa final'!$Q$25),"")</f>
        <v/>
      </c>
      <c r="M18" s="69" t="str">
        <f>IF(AND('Mapa final'!$AA$26="Alta",'Mapa final'!$AC$26="Leve"),CONCATENATE("R3C",'Mapa final'!$Q$26),"")</f>
        <v/>
      </c>
      <c r="N18" s="69" t="str">
        <f>IF(AND('Mapa final'!$AA$27="Alta",'Mapa final'!$AC$27="Leve"),CONCATENATE("R3C",'Mapa final'!$Q$27),"")</f>
        <v/>
      </c>
      <c r="O18" s="70" t="str">
        <f>IF(AND('Mapa final'!$AA$28="Alta",'Mapa final'!$AC$28="Leve"),CONCATENATE("R3C",'Mapa final'!$Q$28),"")</f>
        <v/>
      </c>
      <c r="P18" s="68" t="str">
        <f>IF(AND('Mapa final'!$AA$23="Alta",'Mapa final'!$AC$23="Menor"),CONCATENATE("R3C",'Mapa final'!$Q$23),"")</f>
        <v/>
      </c>
      <c r="Q18" s="69" t="str">
        <f>IF(AND('Mapa final'!$AA$24="Alta",'Mapa final'!$AC$24="Menor"),CONCATENATE("R3C",'Mapa final'!$Q$24),"")</f>
        <v/>
      </c>
      <c r="R18" s="69" t="str">
        <f>IF(AND('Mapa final'!$AA$25="Alta",'Mapa final'!$AC$25="Menor"),CONCATENATE("R3C",'Mapa final'!$Q$25),"")</f>
        <v/>
      </c>
      <c r="S18" s="69" t="str">
        <f>IF(AND('Mapa final'!$AA$26="Alta",'Mapa final'!$AC$26="Menor"),CONCATENATE("R3C",'Mapa final'!$Q$26),"")</f>
        <v/>
      </c>
      <c r="T18" s="69" t="str">
        <f>IF(AND('Mapa final'!$AA$27="Alta",'Mapa final'!$AC$27="Menor"),CONCATENATE("R3C",'Mapa final'!$Q$27),"")</f>
        <v/>
      </c>
      <c r="U18" s="70" t="str">
        <f>IF(AND('Mapa final'!$AA$28="Alta",'Mapa final'!$AC$28="Menor"),CONCATENATE("R3C",'Mapa final'!$Q$28),"")</f>
        <v/>
      </c>
      <c r="V18" s="52" t="str">
        <f>IF(AND('Mapa final'!$AA$23="Alta",'Mapa final'!$AC$23="Moderado"),CONCATENATE("R3C",'Mapa final'!$Q$23),"")</f>
        <v/>
      </c>
      <c r="W18" s="53" t="str">
        <f>IF(AND('Mapa final'!$AA$24="Alta",'Mapa final'!$AC$24="Moderado"),CONCATENATE("R3C",'Mapa final'!$Q$24),"")</f>
        <v/>
      </c>
      <c r="X18" s="53" t="str">
        <f>IF(AND('Mapa final'!$AA$25="Alta",'Mapa final'!$AC$25="Moderado"),CONCATENATE("R3C",'Mapa final'!$Q$25),"")</f>
        <v/>
      </c>
      <c r="Y18" s="53" t="str">
        <f>IF(AND('Mapa final'!$AA$26="Alta",'Mapa final'!$AC$26="Moderado"),CONCATENATE("R3C",'Mapa final'!$Q$26),"")</f>
        <v/>
      </c>
      <c r="Z18" s="53" t="str">
        <f>IF(AND('Mapa final'!$AA$27="Alta",'Mapa final'!$AC$27="Moderado"),CONCATENATE("R3C",'Mapa final'!$Q$27),"")</f>
        <v/>
      </c>
      <c r="AA18" s="54" t="str">
        <f>IF(AND('Mapa final'!$AA$28="Alta",'Mapa final'!$AC$28="Moderado"),CONCATENATE("R3C",'Mapa final'!$Q$28),"")</f>
        <v/>
      </c>
      <c r="AB18" s="52" t="str">
        <f>IF(AND('Mapa final'!$AA$23="Alta",'Mapa final'!$AC$23="Mayor"),CONCATENATE("R3C",'Mapa final'!$Q$23),"")</f>
        <v/>
      </c>
      <c r="AC18" s="53" t="str">
        <f>IF(AND('Mapa final'!$AA$24="Alta",'Mapa final'!$AC$24="Mayor"),CONCATENATE("R3C",'Mapa final'!$Q$24),"")</f>
        <v/>
      </c>
      <c r="AD18" s="53" t="str">
        <f>IF(AND('Mapa final'!$AA$25="Alta",'Mapa final'!$AC$25="Mayor"),CONCATENATE("R3C",'Mapa final'!$Q$25),"")</f>
        <v/>
      </c>
      <c r="AE18" s="53" t="str">
        <f>IF(AND('Mapa final'!$AA$26="Alta",'Mapa final'!$AC$26="Mayor"),CONCATENATE("R3C",'Mapa final'!$Q$26),"")</f>
        <v/>
      </c>
      <c r="AF18" s="53" t="str">
        <f>IF(AND('Mapa final'!$AA$27="Alta",'Mapa final'!$AC$27="Mayor"),CONCATENATE("R3C",'Mapa final'!$Q$27),"")</f>
        <v/>
      </c>
      <c r="AG18" s="54" t="str">
        <f>IF(AND('Mapa final'!$AA$28="Alta",'Mapa final'!$AC$28="Mayor"),CONCATENATE("R3C",'Mapa final'!$Q$28),"")</f>
        <v/>
      </c>
      <c r="AH18" s="55" t="str">
        <f>IF(AND('Mapa final'!$AA$23="Alta",'Mapa final'!$AC$23="Catastrófico"),CONCATENATE("R3C",'Mapa final'!$Q$23),"")</f>
        <v/>
      </c>
      <c r="AI18" s="56" t="str">
        <f>IF(AND('Mapa final'!$AA$24="Alta",'Mapa final'!$AC$24="Catastrófico"),CONCATENATE("R3C",'Mapa final'!$Q$24),"")</f>
        <v/>
      </c>
      <c r="AJ18" s="56" t="str">
        <f>IF(AND('Mapa final'!$AA$25="Alta",'Mapa final'!$AC$25="Catastrófico"),CONCATENATE("R3C",'Mapa final'!$Q$25),"")</f>
        <v/>
      </c>
      <c r="AK18" s="56" t="str">
        <f>IF(AND('Mapa final'!$AA$26="Alta",'Mapa final'!$AC$26="Catastrófico"),CONCATENATE("R3C",'Mapa final'!$Q$26),"")</f>
        <v/>
      </c>
      <c r="AL18" s="56" t="str">
        <f>IF(AND('Mapa final'!$AA$27="Alta",'Mapa final'!$AC$27="Catastrófico"),CONCATENATE("R3C",'Mapa final'!$Q$27),"")</f>
        <v/>
      </c>
      <c r="AM18" s="57" t="str">
        <f>IF(AND('Mapa final'!$AA$28="Alta",'Mapa final'!$AC$28="Catastrófico"),CONCATENATE("R3C",'Mapa final'!$Q$28),"")</f>
        <v/>
      </c>
      <c r="AN18" s="84"/>
      <c r="AO18" s="364"/>
      <c r="AP18" s="365"/>
      <c r="AQ18" s="365"/>
      <c r="AR18" s="365"/>
      <c r="AS18" s="365"/>
      <c r="AT18" s="366"/>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3">
      <c r="A19" s="84"/>
      <c r="B19" s="313"/>
      <c r="C19" s="313"/>
      <c r="D19" s="314"/>
      <c r="E19" s="354"/>
      <c r="F19" s="355"/>
      <c r="G19" s="355"/>
      <c r="H19" s="355"/>
      <c r="I19" s="371"/>
      <c r="J19" s="68" t="str">
        <f>IF(AND('Mapa final'!$AA$29="Alta",'Mapa final'!$AC$29="Leve"),CONCATENATE("R4C",'Mapa final'!$Q$29),"")</f>
        <v/>
      </c>
      <c r="K19" s="69" t="str">
        <f>IF(AND('Mapa final'!$AA$30="Alta",'Mapa final'!$AC$30="Leve"),CONCATENATE("R4C",'Mapa final'!$Q$30),"")</f>
        <v/>
      </c>
      <c r="L19" s="69" t="str">
        <f>IF(AND('Mapa final'!$AA$31="Alta",'Mapa final'!$AC$31="Leve"),CONCATENATE("R4C",'Mapa final'!$Q$31),"")</f>
        <v/>
      </c>
      <c r="M19" s="69" t="str">
        <f>IF(AND('Mapa final'!$AA$32="Alta",'Mapa final'!$AC$32="Leve"),CONCATENATE("R4C",'Mapa final'!$Q$32),"")</f>
        <v/>
      </c>
      <c r="N19" s="69" t="str">
        <f>IF(AND('Mapa final'!$AA$33="Alta",'Mapa final'!$AC$33="Leve"),CONCATENATE("R4C",'Mapa final'!$Q$33),"")</f>
        <v/>
      </c>
      <c r="O19" s="70" t="str">
        <f>IF(AND('Mapa final'!$AA$34="Alta",'Mapa final'!$AC$34="Leve"),CONCATENATE("R4C",'Mapa final'!$Q$34),"")</f>
        <v/>
      </c>
      <c r="P19" s="68" t="str">
        <f>IF(AND('Mapa final'!$AA$29="Alta",'Mapa final'!$AC$29="Menor"),CONCATENATE("R4C",'Mapa final'!$Q$29),"")</f>
        <v/>
      </c>
      <c r="Q19" s="69" t="str">
        <f>IF(AND('Mapa final'!$AA$30="Alta",'Mapa final'!$AC$30="Menor"),CONCATENATE("R4C",'Mapa final'!$Q$30),"")</f>
        <v/>
      </c>
      <c r="R19" s="69" t="str">
        <f>IF(AND('Mapa final'!$AA$31="Alta",'Mapa final'!$AC$31="Menor"),CONCATENATE("R4C",'Mapa final'!$Q$31),"")</f>
        <v/>
      </c>
      <c r="S19" s="69" t="str">
        <f>IF(AND('Mapa final'!$AA$32="Alta",'Mapa final'!$AC$32="Menor"),CONCATENATE("R4C",'Mapa final'!$Q$32),"")</f>
        <v/>
      </c>
      <c r="T19" s="69" t="str">
        <f>IF(AND('Mapa final'!$AA$33="Alta",'Mapa final'!$AC$33="Menor"),CONCATENATE("R4C",'Mapa final'!$Q$33),"")</f>
        <v/>
      </c>
      <c r="U19" s="70" t="str">
        <f>IF(AND('Mapa final'!$AA$34="Alta",'Mapa final'!$AC$34="Menor"),CONCATENATE("R4C",'Mapa final'!$Q$34),"")</f>
        <v/>
      </c>
      <c r="V19" s="52" t="str">
        <f>IF(AND('Mapa final'!$AA$29="Alta",'Mapa final'!$AC$29="Moderado"),CONCATENATE("R4C",'Mapa final'!$Q$29),"")</f>
        <v/>
      </c>
      <c r="W19" s="53" t="str">
        <f>IF(AND('Mapa final'!$AA$30="Alta",'Mapa final'!$AC$30="Moderado"),CONCATENATE("R4C",'Mapa final'!$Q$30),"")</f>
        <v/>
      </c>
      <c r="X19" s="58" t="str">
        <f>IF(AND('Mapa final'!$AA$31="Alta",'Mapa final'!$AC$31="Moderado"),CONCATENATE("R4C",'Mapa final'!$Q$31),"")</f>
        <v/>
      </c>
      <c r="Y19" s="58" t="str">
        <f>IF(AND('Mapa final'!$AA$32="Alta",'Mapa final'!$AC$32="Moderado"),CONCATENATE("R4C",'Mapa final'!$Q$32),"")</f>
        <v/>
      </c>
      <c r="Z19" s="58" t="str">
        <f>IF(AND('Mapa final'!$AA$33="Alta",'Mapa final'!$AC$33="Moderado"),CONCATENATE("R4C",'Mapa final'!$Q$33),"")</f>
        <v/>
      </c>
      <c r="AA19" s="54" t="str">
        <f>IF(AND('Mapa final'!$AA$34="Alta",'Mapa final'!$AC$34="Moderado"),CONCATENATE("R4C",'Mapa final'!$Q$34),"")</f>
        <v/>
      </c>
      <c r="AB19" s="52" t="str">
        <f>IF(AND('Mapa final'!$AA$29="Alta",'Mapa final'!$AC$29="Mayor"),CONCATENATE("R4C",'Mapa final'!$Q$29),"")</f>
        <v/>
      </c>
      <c r="AC19" s="53" t="str">
        <f>IF(AND('Mapa final'!$AA$30="Alta",'Mapa final'!$AC$30="Mayor"),CONCATENATE("R4C",'Mapa final'!$Q$30),"")</f>
        <v/>
      </c>
      <c r="AD19" s="58" t="str">
        <f>IF(AND('Mapa final'!$AA$31="Alta",'Mapa final'!$AC$31="Mayor"),CONCATENATE("R4C",'Mapa final'!$Q$31),"")</f>
        <v/>
      </c>
      <c r="AE19" s="58" t="str">
        <f>IF(AND('Mapa final'!$AA$32="Alta",'Mapa final'!$AC$32="Mayor"),CONCATENATE("R4C",'Mapa final'!$Q$32),"")</f>
        <v/>
      </c>
      <c r="AF19" s="58" t="str">
        <f>IF(AND('Mapa final'!$AA$33="Alta",'Mapa final'!$AC$33="Mayor"),CONCATENATE("R4C",'Mapa final'!$Q$33),"")</f>
        <v/>
      </c>
      <c r="AG19" s="54" t="str">
        <f>IF(AND('Mapa final'!$AA$34="Alta",'Mapa final'!$AC$34="Mayor"),CONCATENATE("R4C",'Mapa final'!$Q$34),"")</f>
        <v/>
      </c>
      <c r="AH19" s="55" t="str">
        <f>IF(AND('Mapa final'!$AA$29="Alta",'Mapa final'!$AC$29="Catastrófico"),CONCATENATE("R4C",'Mapa final'!$Q$29),"")</f>
        <v/>
      </c>
      <c r="AI19" s="56" t="str">
        <f>IF(AND('Mapa final'!$AA$30="Alta",'Mapa final'!$AC$30="Catastrófico"),CONCATENATE("R4C",'Mapa final'!$Q$30),"")</f>
        <v/>
      </c>
      <c r="AJ19" s="56" t="str">
        <f>IF(AND('Mapa final'!$AA$31="Alta",'Mapa final'!$AC$31="Catastrófico"),CONCATENATE("R4C",'Mapa final'!$Q$31),"")</f>
        <v/>
      </c>
      <c r="AK19" s="56" t="str">
        <f>IF(AND('Mapa final'!$AA$32="Alta",'Mapa final'!$AC$32="Catastrófico"),CONCATENATE("R4C",'Mapa final'!$Q$32),"")</f>
        <v/>
      </c>
      <c r="AL19" s="56" t="str">
        <f>IF(AND('Mapa final'!$AA$33="Alta",'Mapa final'!$AC$33="Catastrófico"),CONCATENATE("R4C",'Mapa final'!$Q$33),"")</f>
        <v/>
      </c>
      <c r="AM19" s="57" t="str">
        <f>IF(AND('Mapa final'!$AA$34="Alta",'Mapa final'!$AC$34="Catastrófico"),CONCATENATE("R4C",'Mapa final'!$Q$34),"")</f>
        <v/>
      </c>
      <c r="AN19" s="84"/>
      <c r="AO19" s="364"/>
      <c r="AP19" s="365"/>
      <c r="AQ19" s="365"/>
      <c r="AR19" s="365"/>
      <c r="AS19" s="365"/>
      <c r="AT19" s="366"/>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3">
      <c r="A20" s="84"/>
      <c r="B20" s="313"/>
      <c r="C20" s="313"/>
      <c r="D20" s="314"/>
      <c r="E20" s="354"/>
      <c r="F20" s="355"/>
      <c r="G20" s="355"/>
      <c r="H20" s="355"/>
      <c r="I20" s="371"/>
      <c r="J20" s="68" t="str">
        <f>IF(AND('Mapa final'!$AA$35="Alta",'Mapa final'!$AC$35="Leve"),CONCATENATE("R5C",'Mapa final'!$Q$35),"")</f>
        <v/>
      </c>
      <c r="K20" s="69" t="str">
        <f>IF(AND('Mapa final'!$AA$36="Alta",'Mapa final'!$AC$36="Leve"),CONCATENATE("R5C",'Mapa final'!$Q$36),"")</f>
        <v/>
      </c>
      <c r="L20" s="69" t="str">
        <f>IF(AND('Mapa final'!$AA$37="Alta",'Mapa final'!$AC$37="Leve"),CONCATENATE("R5C",'Mapa final'!$Q$37),"")</f>
        <v/>
      </c>
      <c r="M20" s="69" t="str">
        <f>IF(AND('Mapa final'!$AA$38="Alta",'Mapa final'!$AC$38="Leve"),CONCATENATE("R5C",'Mapa final'!$Q$38),"")</f>
        <v/>
      </c>
      <c r="N20" s="69" t="str">
        <f>IF(AND('Mapa final'!$AA$39="Alta",'Mapa final'!$AC$39="Leve"),CONCATENATE("R5C",'Mapa final'!$Q$39),"")</f>
        <v/>
      </c>
      <c r="O20" s="70" t="str">
        <f>IF(AND('Mapa final'!$AA$40="Alta",'Mapa final'!$AC$40="Leve"),CONCATENATE("R5C",'Mapa final'!$Q$40),"")</f>
        <v/>
      </c>
      <c r="P20" s="68" t="str">
        <f>IF(AND('Mapa final'!$AA$35="Alta",'Mapa final'!$AC$35="Menor"),CONCATENATE("R5C",'Mapa final'!$Q$35),"")</f>
        <v/>
      </c>
      <c r="Q20" s="69" t="str">
        <f>IF(AND('Mapa final'!$AA$36="Alta",'Mapa final'!$AC$36="Menor"),CONCATENATE("R5C",'Mapa final'!$Q$36),"")</f>
        <v/>
      </c>
      <c r="R20" s="69" t="str">
        <f>IF(AND('Mapa final'!$AA$37="Alta",'Mapa final'!$AC$37="Menor"),CONCATENATE("R5C",'Mapa final'!$Q$37),"")</f>
        <v/>
      </c>
      <c r="S20" s="69" t="str">
        <f>IF(AND('Mapa final'!$AA$38="Alta",'Mapa final'!$AC$38="Menor"),CONCATENATE("R5C",'Mapa final'!$Q$38),"")</f>
        <v/>
      </c>
      <c r="T20" s="69" t="str">
        <f>IF(AND('Mapa final'!$AA$39="Alta",'Mapa final'!$AC$39="Menor"),CONCATENATE("R5C",'Mapa final'!$Q$39),"")</f>
        <v/>
      </c>
      <c r="U20" s="70" t="str">
        <f>IF(AND('Mapa final'!$AA$40="Alta",'Mapa final'!$AC$40="Menor"),CONCATENATE("R5C",'Mapa final'!$Q$40),"")</f>
        <v/>
      </c>
      <c r="V20" s="52" t="str">
        <f>IF(AND('Mapa final'!$AA$35="Alta",'Mapa final'!$AC$35="Moderado"),CONCATENATE("R5C",'Mapa final'!$Q$35),"")</f>
        <v/>
      </c>
      <c r="W20" s="53" t="str">
        <f>IF(AND('Mapa final'!$AA$36="Alta",'Mapa final'!$AC$36="Moderado"),CONCATENATE("R5C",'Mapa final'!$Q$36),"")</f>
        <v/>
      </c>
      <c r="X20" s="58" t="str">
        <f>IF(AND('Mapa final'!$AA$37="Alta",'Mapa final'!$AC$37="Moderado"),CONCATENATE("R5C",'Mapa final'!$Q$37),"")</f>
        <v/>
      </c>
      <c r="Y20" s="58" t="str">
        <f>IF(AND('Mapa final'!$AA$38="Alta",'Mapa final'!$AC$38="Moderado"),CONCATENATE("R5C",'Mapa final'!$Q$38),"")</f>
        <v/>
      </c>
      <c r="Z20" s="58" t="str">
        <f>IF(AND('Mapa final'!$AA$39="Alta",'Mapa final'!$AC$39="Moderado"),CONCATENATE("R5C",'Mapa final'!$Q$39),"")</f>
        <v/>
      </c>
      <c r="AA20" s="54" t="str">
        <f>IF(AND('Mapa final'!$AA$40="Alta",'Mapa final'!$AC$40="Moderado"),CONCATENATE("R5C",'Mapa final'!$Q$40),"")</f>
        <v/>
      </c>
      <c r="AB20" s="52" t="str">
        <f>IF(AND('Mapa final'!$AA$35="Alta",'Mapa final'!$AC$35="Mayor"),CONCATENATE("R5C",'Mapa final'!$Q$35),"")</f>
        <v/>
      </c>
      <c r="AC20" s="53" t="str">
        <f>IF(AND('Mapa final'!$AA$36="Alta",'Mapa final'!$AC$36="Mayor"),CONCATENATE("R5C",'Mapa final'!$Q$36),"")</f>
        <v/>
      </c>
      <c r="AD20" s="58" t="str">
        <f>IF(AND('Mapa final'!$AA$37="Alta",'Mapa final'!$AC$37="Mayor"),CONCATENATE("R5C",'Mapa final'!$Q$37),"")</f>
        <v/>
      </c>
      <c r="AE20" s="58" t="str">
        <f>IF(AND('Mapa final'!$AA$38="Alta",'Mapa final'!$AC$38="Mayor"),CONCATENATE("R5C",'Mapa final'!$Q$38),"")</f>
        <v/>
      </c>
      <c r="AF20" s="58" t="str">
        <f>IF(AND('Mapa final'!$AA$39="Alta",'Mapa final'!$AC$39="Mayor"),CONCATENATE("R5C",'Mapa final'!$Q$39),"")</f>
        <v/>
      </c>
      <c r="AG20" s="54" t="str">
        <f>IF(AND('Mapa final'!$AA$40="Alta",'Mapa final'!$AC$40="Mayor"),CONCATENATE("R5C",'Mapa final'!$Q$40),"")</f>
        <v/>
      </c>
      <c r="AH20" s="55" t="str">
        <f>IF(AND('Mapa final'!$AA$35="Alta",'Mapa final'!$AC$35="Catastrófico"),CONCATENATE("R5C",'Mapa final'!$Q$35),"")</f>
        <v/>
      </c>
      <c r="AI20" s="56" t="str">
        <f>IF(AND('Mapa final'!$AA$36="Alta",'Mapa final'!$AC$36="Catastrófico"),CONCATENATE("R5C",'Mapa final'!$Q$36),"")</f>
        <v/>
      </c>
      <c r="AJ20" s="56" t="str">
        <f>IF(AND('Mapa final'!$AA$37="Alta",'Mapa final'!$AC$37="Catastrófico"),CONCATENATE("R5C",'Mapa final'!$Q$37),"")</f>
        <v/>
      </c>
      <c r="AK20" s="56" t="str">
        <f>IF(AND('Mapa final'!$AA$38="Alta",'Mapa final'!$AC$38="Catastrófico"),CONCATENATE("R5C",'Mapa final'!$Q$38),"")</f>
        <v/>
      </c>
      <c r="AL20" s="56" t="str">
        <f>IF(AND('Mapa final'!$AA$39="Alta",'Mapa final'!$AC$39="Catastrófico"),CONCATENATE("R5C",'Mapa final'!$Q$39),"")</f>
        <v/>
      </c>
      <c r="AM20" s="57" t="str">
        <f>IF(AND('Mapa final'!$AA$40="Alta",'Mapa final'!$AC$40="Catastrófico"),CONCATENATE("R5C",'Mapa final'!$Q$40),"")</f>
        <v/>
      </c>
      <c r="AN20" s="84"/>
      <c r="AO20" s="364"/>
      <c r="AP20" s="365"/>
      <c r="AQ20" s="365"/>
      <c r="AR20" s="365"/>
      <c r="AS20" s="365"/>
      <c r="AT20" s="366"/>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3">
      <c r="A21" s="84"/>
      <c r="B21" s="313"/>
      <c r="C21" s="313"/>
      <c r="D21" s="314"/>
      <c r="E21" s="354"/>
      <c r="F21" s="355"/>
      <c r="G21" s="355"/>
      <c r="H21" s="355"/>
      <c r="I21" s="371"/>
      <c r="J21" s="68" t="str">
        <f>IF(AND('Mapa final'!$AA$41="Alta",'Mapa final'!$AC$41="Leve"),CONCATENATE("R6C",'Mapa final'!$Q$41),"")</f>
        <v/>
      </c>
      <c r="K21" s="69" t="str">
        <f>IF(AND('Mapa final'!$AA$42="Alta",'Mapa final'!$AC$42="Leve"),CONCATENATE("R6C",'Mapa final'!$Q$42),"")</f>
        <v/>
      </c>
      <c r="L21" s="69" t="str">
        <f>IF(AND('Mapa final'!$AA$43="Alta",'Mapa final'!$AC$43="Leve"),CONCATENATE("R6C",'Mapa final'!$Q$43),"")</f>
        <v/>
      </c>
      <c r="M21" s="69" t="str">
        <f>IF(AND('Mapa final'!$AA$44="Alta",'Mapa final'!$AC$44="Leve"),CONCATENATE("R6C",'Mapa final'!$Q$44),"")</f>
        <v/>
      </c>
      <c r="N21" s="69" t="str">
        <f>IF(AND('Mapa final'!$AA$45="Alta",'Mapa final'!$AC$45="Leve"),CONCATENATE("R6C",'Mapa final'!$Q$45),"")</f>
        <v/>
      </c>
      <c r="O21" s="70" t="str">
        <f>IF(AND('Mapa final'!$AA$46="Alta",'Mapa final'!$AC$46="Leve"),CONCATENATE("R6C",'Mapa final'!$Q$46),"")</f>
        <v/>
      </c>
      <c r="P21" s="68" t="str">
        <f>IF(AND('Mapa final'!$AA$41="Alta",'Mapa final'!$AC$41="Menor"),CONCATENATE("R6C",'Mapa final'!$Q$41),"")</f>
        <v/>
      </c>
      <c r="Q21" s="69" t="str">
        <f>IF(AND('Mapa final'!$AA$42="Alta",'Mapa final'!$AC$42="Menor"),CONCATENATE("R6C",'Mapa final'!$Q$42),"")</f>
        <v/>
      </c>
      <c r="R21" s="69" t="str">
        <f>IF(AND('Mapa final'!$AA$43="Alta",'Mapa final'!$AC$43="Menor"),CONCATENATE("R6C",'Mapa final'!$Q$43),"")</f>
        <v/>
      </c>
      <c r="S21" s="69" t="str">
        <f>IF(AND('Mapa final'!$AA$44="Alta",'Mapa final'!$AC$44="Menor"),CONCATENATE("R6C",'Mapa final'!$Q$44),"")</f>
        <v/>
      </c>
      <c r="T21" s="69" t="str">
        <f>IF(AND('Mapa final'!$AA$45="Alta",'Mapa final'!$AC$45="Menor"),CONCATENATE("R6C",'Mapa final'!$Q$45),"")</f>
        <v/>
      </c>
      <c r="U21" s="70" t="str">
        <f>IF(AND('Mapa final'!$AA$46="Alta",'Mapa final'!$AC$46="Menor"),CONCATENATE("R6C",'Mapa final'!$Q$46),"")</f>
        <v/>
      </c>
      <c r="V21" s="52" t="str">
        <f>IF(AND('Mapa final'!$AA$41="Alta",'Mapa final'!$AC$41="Moderado"),CONCATENATE("R6C",'Mapa final'!$Q$41),"")</f>
        <v/>
      </c>
      <c r="W21" s="53" t="str">
        <f>IF(AND('Mapa final'!$AA$42="Alta",'Mapa final'!$AC$42="Moderado"),CONCATENATE("R6C",'Mapa final'!$Q$42),"")</f>
        <v/>
      </c>
      <c r="X21" s="58" t="str">
        <f>IF(AND('Mapa final'!$AA$43="Alta",'Mapa final'!$AC$43="Moderado"),CONCATENATE("R6C",'Mapa final'!$Q$43),"")</f>
        <v/>
      </c>
      <c r="Y21" s="58" t="str">
        <f>IF(AND('Mapa final'!$AA$44="Alta",'Mapa final'!$AC$44="Moderado"),CONCATENATE("R6C",'Mapa final'!$Q$44),"")</f>
        <v/>
      </c>
      <c r="Z21" s="58" t="str">
        <f>IF(AND('Mapa final'!$AA$45="Alta",'Mapa final'!$AC$45="Moderado"),CONCATENATE("R6C",'Mapa final'!$Q$45),"")</f>
        <v/>
      </c>
      <c r="AA21" s="54" t="str">
        <f>IF(AND('Mapa final'!$AA$46="Alta",'Mapa final'!$AC$46="Moderado"),CONCATENATE("R6C",'Mapa final'!$Q$46),"")</f>
        <v/>
      </c>
      <c r="AB21" s="52" t="str">
        <f>IF(AND('Mapa final'!$AA$41="Alta",'Mapa final'!$AC$41="Mayor"),CONCATENATE("R6C",'Mapa final'!$Q$41),"")</f>
        <v/>
      </c>
      <c r="AC21" s="53" t="str">
        <f>IF(AND('Mapa final'!$AA$42="Alta",'Mapa final'!$AC$42="Mayor"),CONCATENATE("R6C",'Mapa final'!$Q$42),"")</f>
        <v/>
      </c>
      <c r="AD21" s="58" t="str">
        <f>IF(AND('Mapa final'!$AA$43="Alta",'Mapa final'!$AC$43="Mayor"),CONCATENATE("R6C",'Mapa final'!$Q$43),"")</f>
        <v/>
      </c>
      <c r="AE21" s="58" t="str">
        <f>IF(AND('Mapa final'!$AA$44="Alta",'Mapa final'!$AC$44="Mayor"),CONCATENATE("R6C",'Mapa final'!$Q$44),"")</f>
        <v/>
      </c>
      <c r="AF21" s="58" t="str">
        <f>IF(AND('Mapa final'!$AA$45="Alta",'Mapa final'!$AC$45="Mayor"),CONCATENATE("R6C",'Mapa final'!$Q$45),"")</f>
        <v/>
      </c>
      <c r="AG21" s="54" t="str">
        <f>IF(AND('Mapa final'!$AA$46="Alta",'Mapa final'!$AC$46="Mayor"),CONCATENATE("R6C",'Mapa final'!$Q$46),"")</f>
        <v/>
      </c>
      <c r="AH21" s="55" t="str">
        <f>IF(AND('Mapa final'!$AA$41="Alta",'Mapa final'!$AC$41="Catastrófico"),CONCATENATE("R6C",'Mapa final'!$Q$41),"")</f>
        <v/>
      </c>
      <c r="AI21" s="56" t="str">
        <f>IF(AND('Mapa final'!$AA$42="Alta",'Mapa final'!$AC$42="Catastrófico"),CONCATENATE("R6C",'Mapa final'!$Q$42),"")</f>
        <v/>
      </c>
      <c r="AJ21" s="56" t="str">
        <f>IF(AND('Mapa final'!$AA$43="Alta",'Mapa final'!$AC$43="Catastrófico"),CONCATENATE("R6C",'Mapa final'!$Q$43),"")</f>
        <v/>
      </c>
      <c r="AK21" s="56" t="str">
        <f>IF(AND('Mapa final'!$AA$44="Alta",'Mapa final'!$AC$44="Catastrófico"),CONCATENATE("R6C",'Mapa final'!$Q$44),"")</f>
        <v/>
      </c>
      <c r="AL21" s="56" t="str">
        <f>IF(AND('Mapa final'!$AA$45="Alta",'Mapa final'!$AC$45="Catastrófico"),CONCATENATE("R6C",'Mapa final'!$Q$45),"")</f>
        <v/>
      </c>
      <c r="AM21" s="57" t="str">
        <f>IF(AND('Mapa final'!$AA$46="Alta",'Mapa final'!$AC$46="Catastrófico"),CONCATENATE("R6C",'Mapa final'!$Q$46),"")</f>
        <v/>
      </c>
      <c r="AN21" s="84"/>
      <c r="AO21" s="364"/>
      <c r="AP21" s="365"/>
      <c r="AQ21" s="365"/>
      <c r="AR21" s="365"/>
      <c r="AS21" s="365"/>
      <c r="AT21" s="366"/>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3">
      <c r="A22" s="84"/>
      <c r="B22" s="313"/>
      <c r="C22" s="313"/>
      <c r="D22" s="314"/>
      <c r="E22" s="354"/>
      <c r="F22" s="355"/>
      <c r="G22" s="355"/>
      <c r="H22" s="355"/>
      <c r="I22" s="371"/>
      <c r="J22" s="68" t="str">
        <f>IF(AND('Mapa final'!$AA$47="Alta",'Mapa final'!$AC$47="Leve"),CONCATENATE("R7C",'Mapa final'!$Q$47),"")</f>
        <v/>
      </c>
      <c r="K22" s="69" t="str">
        <f>IF(AND('Mapa final'!$AA$48="Alta",'Mapa final'!$AC$48="Leve"),CONCATENATE("R7C",'Mapa final'!$Q$48),"")</f>
        <v/>
      </c>
      <c r="L22" s="69" t="str">
        <f>IF(AND('Mapa final'!$AA$49="Alta",'Mapa final'!$AC$49="Leve"),CONCATENATE("R7C",'Mapa final'!$Q$49),"")</f>
        <v/>
      </c>
      <c r="M22" s="69" t="str">
        <f>IF(AND('Mapa final'!$AA$50="Alta",'Mapa final'!$AC$50="Leve"),CONCATENATE("R7C",'Mapa final'!$Q$50),"")</f>
        <v/>
      </c>
      <c r="N22" s="69" t="str">
        <f>IF(AND('Mapa final'!$AA$51="Alta",'Mapa final'!$AC$51="Leve"),CONCATENATE("R7C",'Mapa final'!$Q$51),"")</f>
        <v/>
      </c>
      <c r="O22" s="70" t="str">
        <f>IF(AND('Mapa final'!$AA$52="Alta",'Mapa final'!$AC$52="Leve"),CONCATENATE("R7C",'Mapa final'!$Q$52),"")</f>
        <v/>
      </c>
      <c r="P22" s="68" t="str">
        <f>IF(AND('Mapa final'!$AA$47="Alta",'Mapa final'!$AC$47="Menor"),CONCATENATE("R7C",'Mapa final'!$Q$47),"")</f>
        <v/>
      </c>
      <c r="Q22" s="69" t="str">
        <f>IF(AND('Mapa final'!$AA$48="Alta",'Mapa final'!$AC$48="Menor"),CONCATENATE("R7C",'Mapa final'!$Q$48),"")</f>
        <v/>
      </c>
      <c r="R22" s="69" t="str">
        <f>IF(AND('Mapa final'!$AA$49="Alta",'Mapa final'!$AC$49="Menor"),CONCATENATE("R7C",'Mapa final'!$Q$49),"")</f>
        <v/>
      </c>
      <c r="S22" s="69" t="str">
        <f>IF(AND('Mapa final'!$AA$50="Alta",'Mapa final'!$AC$50="Menor"),CONCATENATE("R7C",'Mapa final'!$Q$50),"")</f>
        <v/>
      </c>
      <c r="T22" s="69" t="str">
        <f>IF(AND('Mapa final'!$AA$51="Alta",'Mapa final'!$AC$51="Menor"),CONCATENATE("R7C",'Mapa final'!$Q$51),"")</f>
        <v/>
      </c>
      <c r="U22" s="70" t="str">
        <f>IF(AND('Mapa final'!$AA$52="Alta",'Mapa final'!$AC$52="Menor"),CONCATENATE("R7C",'Mapa final'!$Q$52),"")</f>
        <v/>
      </c>
      <c r="V22" s="52" t="str">
        <f>IF(AND('Mapa final'!$AA$47="Alta",'Mapa final'!$AC$47="Moderado"),CONCATENATE("R7C",'Mapa final'!$Q$47),"")</f>
        <v/>
      </c>
      <c r="W22" s="53" t="str">
        <f>IF(AND('Mapa final'!$AA$48="Alta",'Mapa final'!$AC$48="Moderado"),CONCATENATE("R7C",'Mapa final'!$Q$48),"")</f>
        <v/>
      </c>
      <c r="X22" s="58" t="str">
        <f>IF(AND('Mapa final'!$AA$49="Alta",'Mapa final'!$AC$49="Moderado"),CONCATENATE("R7C",'Mapa final'!$Q$49),"")</f>
        <v/>
      </c>
      <c r="Y22" s="58" t="str">
        <f>IF(AND('Mapa final'!$AA$50="Alta",'Mapa final'!$AC$50="Moderado"),CONCATENATE("R7C",'Mapa final'!$Q$50),"")</f>
        <v/>
      </c>
      <c r="Z22" s="58" t="str">
        <f>IF(AND('Mapa final'!$AA$51="Alta",'Mapa final'!$AC$51="Moderado"),CONCATENATE("R7C",'Mapa final'!$Q$51),"")</f>
        <v/>
      </c>
      <c r="AA22" s="54" t="str">
        <f>IF(AND('Mapa final'!$AA$52="Alta",'Mapa final'!$AC$52="Moderado"),CONCATENATE("R7C",'Mapa final'!$Q$52),"")</f>
        <v/>
      </c>
      <c r="AB22" s="52" t="str">
        <f>IF(AND('Mapa final'!$AA$47="Alta",'Mapa final'!$AC$47="Mayor"),CONCATENATE("R7C",'Mapa final'!$Q$47),"")</f>
        <v/>
      </c>
      <c r="AC22" s="53" t="str">
        <f>IF(AND('Mapa final'!$AA$48="Alta",'Mapa final'!$AC$48="Mayor"),CONCATENATE("R7C",'Mapa final'!$Q$48),"")</f>
        <v/>
      </c>
      <c r="AD22" s="58" t="str">
        <f>IF(AND('Mapa final'!$AA$49="Alta",'Mapa final'!$AC$49="Mayor"),CONCATENATE("R7C",'Mapa final'!$Q$49),"")</f>
        <v/>
      </c>
      <c r="AE22" s="58" t="str">
        <f>IF(AND('Mapa final'!$AA$50="Alta",'Mapa final'!$AC$50="Mayor"),CONCATENATE("R7C",'Mapa final'!$Q$50),"")</f>
        <v/>
      </c>
      <c r="AF22" s="58" t="str">
        <f>IF(AND('Mapa final'!$AA$51="Alta",'Mapa final'!$AC$51="Mayor"),CONCATENATE("R7C",'Mapa final'!$Q$51),"")</f>
        <v/>
      </c>
      <c r="AG22" s="54" t="str">
        <f>IF(AND('Mapa final'!$AA$52="Alta",'Mapa final'!$AC$52="Mayor"),CONCATENATE("R7C",'Mapa final'!$Q$52),"")</f>
        <v/>
      </c>
      <c r="AH22" s="55" t="str">
        <f>IF(AND('Mapa final'!$AA$47="Alta",'Mapa final'!$AC$47="Catastrófico"),CONCATENATE("R7C",'Mapa final'!$Q$47),"")</f>
        <v/>
      </c>
      <c r="AI22" s="56" t="str">
        <f>IF(AND('Mapa final'!$AA$48="Alta",'Mapa final'!$AC$48="Catastrófico"),CONCATENATE("R7C",'Mapa final'!$Q$48),"")</f>
        <v/>
      </c>
      <c r="AJ22" s="56" t="str">
        <f>IF(AND('Mapa final'!$AA$49="Alta",'Mapa final'!$AC$49="Catastrófico"),CONCATENATE("R7C",'Mapa final'!$Q$49),"")</f>
        <v/>
      </c>
      <c r="AK22" s="56" t="str">
        <f>IF(AND('Mapa final'!$AA$50="Alta",'Mapa final'!$AC$50="Catastrófico"),CONCATENATE("R7C",'Mapa final'!$Q$50),"")</f>
        <v/>
      </c>
      <c r="AL22" s="56" t="str">
        <f>IF(AND('Mapa final'!$AA$51="Alta",'Mapa final'!$AC$51="Catastrófico"),CONCATENATE("R7C",'Mapa final'!$Q$51),"")</f>
        <v/>
      </c>
      <c r="AM22" s="57" t="str">
        <f>IF(AND('Mapa final'!$AA$52="Alta",'Mapa final'!$AC$52="Catastrófico"),CONCATENATE("R7C",'Mapa final'!$Q$52),"")</f>
        <v/>
      </c>
      <c r="AN22" s="84"/>
      <c r="AO22" s="364"/>
      <c r="AP22" s="365"/>
      <c r="AQ22" s="365"/>
      <c r="AR22" s="365"/>
      <c r="AS22" s="365"/>
      <c r="AT22" s="366"/>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3">
      <c r="A23" s="84"/>
      <c r="B23" s="313"/>
      <c r="C23" s="313"/>
      <c r="D23" s="314"/>
      <c r="E23" s="354"/>
      <c r="F23" s="355"/>
      <c r="G23" s="355"/>
      <c r="H23" s="355"/>
      <c r="I23" s="371"/>
      <c r="J23" s="68" t="str">
        <f>IF(AND('Mapa final'!$AA$53="Alta",'Mapa final'!$AC$53="Leve"),CONCATENATE("R8C",'Mapa final'!$Q$53),"")</f>
        <v/>
      </c>
      <c r="K23" s="69" t="str">
        <f>IF(AND('Mapa final'!$AA$54="Alta",'Mapa final'!$AC$54="Leve"),CONCATENATE("R8C",'Mapa final'!$Q$54),"")</f>
        <v/>
      </c>
      <c r="L23" s="69" t="str">
        <f>IF(AND('Mapa final'!$AA$55="Alta",'Mapa final'!$AC$55="Leve"),CONCATENATE("R8C",'Mapa final'!$Q$55),"")</f>
        <v/>
      </c>
      <c r="M23" s="69" t="str">
        <f>IF(AND('Mapa final'!$AA$56="Alta",'Mapa final'!$AC$56="Leve"),CONCATENATE("R8C",'Mapa final'!$Q$56),"")</f>
        <v/>
      </c>
      <c r="N23" s="69" t="str">
        <f>IF(AND('Mapa final'!$AA$57="Alta",'Mapa final'!$AC$57="Leve"),CONCATENATE("R8C",'Mapa final'!$Q$57),"")</f>
        <v/>
      </c>
      <c r="O23" s="70" t="str">
        <f>IF(AND('Mapa final'!$AA$58="Alta",'Mapa final'!$AC$58="Leve"),CONCATENATE("R8C",'Mapa final'!$Q$58),"")</f>
        <v/>
      </c>
      <c r="P23" s="68" t="str">
        <f>IF(AND('Mapa final'!$AA$53="Alta",'Mapa final'!$AC$53="Menor"),CONCATENATE("R8C",'Mapa final'!$Q$53),"")</f>
        <v/>
      </c>
      <c r="Q23" s="69" t="str">
        <f>IF(AND('Mapa final'!$AA$54="Alta",'Mapa final'!$AC$54="Menor"),CONCATENATE("R8C",'Mapa final'!$Q$54),"")</f>
        <v/>
      </c>
      <c r="R23" s="69" t="str">
        <f>IF(AND('Mapa final'!$AA$55="Alta",'Mapa final'!$AC$55="Menor"),CONCATENATE("R8C",'Mapa final'!$Q$55),"")</f>
        <v/>
      </c>
      <c r="S23" s="69" t="str">
        <f>IF(AND('Mapa final'!$AA$56="Alta",'Mapa final'!$AC$56="Menor"),CONCATENATE("R8C",'Mapa final'!$Q$56),"")</f>
        <v/>
      </c>
      <c r="T23" s="69" t="str">
        <f>IF(AND('Mapa final'!$AA$57="Alta",'Mapa final'!$AC$57="Menor"),CONCATENATE("R8C",'Mapa final'!$Q$57),"")</f>
        <v/>
      </c>
      <c r="U23" s="70" t="str">
        <f>IF(AND('Mapa final'!$AA$58="Alta",'Mapa final'!$AC$58="Menor"),CONCATENATE("R8C",'Mapa final'!$Q$58),"")</f>
        <v/>
      </c>
      <c r="V23" s="52" t="str">
        <f>IF(AND('Mapa final'!$AA$53="Alta",'Mapa final'!$AC$53="Moderado"),CONCATENATE("R8C",'Mapa final'!$Q$53),"")</f>
        <v/>
      </c>
      <c r="W23" s="53" t="str">
        <f>IF(AND('Mapa final'!$AA$54="Alta",'Mapa final'!$AC$54="Moderado"),CONCATENATE("R8C",'Mapa final'!$Q$54),"")</f>
        <v/>
      </c>
      <c r="X23" s="58" t="str">
        <f>IF(AND('Mapa final'!$AA$55="Alta",'Mapa final'!$AC$55="Moderado"),CONCATENATE("R8C",'Mapa final'!$Q$55),"")</f>
        <v/>
      </c>
      <c r="Y23" s="58" t="str">
        <f>IF(AND('Mapa final'!$AA$56="Alta",'Mapa final'!$AC$56="Moderado"),CONCATENATE("R8C",'Mapa final'!$Q$56),"")</f>
        <v/>
      </c>
      <c r="Z23" s="58" t="str">
        <f>IF(AND('Mapa final'!$AA$57="Alta",'Mapa final'!$AC$57="Moderado"),CONCATENATE("R8C",'Mapa final'!$Q$57),"")</f>
        <v/>
      </c>
      <c r="AA23" s="54" t="str">
        <f>IF(AND('Mapa final'!$AA$58="Alta",'Mapa final'!$AC$58="Moderado"),CONCATENATE("R8C",'Mapa final'!$Q$58),"")</f>
        <v/>
      </c>
      <c r="AB23" s="52" t="str">
        <f>IF(AND('Mapa final'!$AA$53="Alta",'Mapa final'!$AC$53="Mayor"),CONCATENATE("R8C",'Mapa final'!$Q$53),"")</f>
        <v/>
      </c>
      <c r="AC23" s="53" t="str">
        <f>IF(AND('Mapa final'!$AA$54="Alta",'Mapa final'!$AC$54="Mayor"),CONCATENATE("R8C",'Mapa final'!$Q$54),"")</f>
        <v/>
      </c>
      <c r="AD23" s="58" t="str">
        <f>IF(AND('Mapa final'!$AA$55="Alta",'Mapa final'!$AC$55="Mayor"),CONCATENATE("R8C",'Mapa final'!$Q$55),"")</f>
        <v/>
      </c>
      <c r="AE23" s="58" t="str">
        <f>IF(AND('Mapa final'!$AA$56="Alta",'Mapa final'!$AC$56="Mayor"),CONCATENATE("R8C",'Mapa final'!$Q$56),"")</f>
        <v/>
      </c>
      <c r="AF23" s="58" t="str">
        <f>IF(AND('Mapa final'!$AA$57="Alta",'Mapa final'!$AC$57="Mayor"),CONCATENATE("R8C",'Mapa final'!$Q$57),"")</f>
        <v/>
      </c>
      <c r="AG23" s="54" t="str">
        <f>IF(AND('Mapa final'!$AA$58="Alta",'Mapa final'!$AC$58="Mayor"),CONCATENATE("R8C",'Mapa final'!$Q$58),"")</f>
        <v/>
      </c>
      <c r="AH23" s="55" t="str">
        <f>IF(AND('Mapa final'!$AA$53="Alta",'Mapa final'!$AC$53="Catastrófico"),CONCATENATE("R8C",'Mapa final'!$Q$53),"")</f>
        <v/>
      </c>
      <c r="AI23" s="56" t="str">
        <f>IF(AND('Mapa final'!$AA$54="Alta",'Mapa final'!$AC$54="Catastrófico"),CONCATENATE("R8C",'Mapa final'!$Q$54),"")</f>
        <v/>
      </c>
      <c r="AJ23" s="56" t="str">
        <f>IF(AND('Mapa final'!$AA$55="Alta",'Mapa final'!$AC$55="Catastrófico"),CONCATENATE("R8C",'Mapa final'!$Q$55),"")</f>
        <v/>
      </c>
      <c r="AK23" s="56" t="str">
        <f>IF(AND('Mapa final'!$AA$56="Alta",'Mapa final'!$AC$56="Catastrófico"),CONCATENATE("R8C",'Mapa final'!$Q$56),"")</f>
        <v/>
      </c>
      <c r="AL23" s="56" t="str">
        <f>IF(AND('Mapa final'!$AA$57="Alta",'Mapa final'!$AC$57="Catastrófico"),CONCATENATE("R8C",'Mapa final'!$Q$57),"")</f>
        <v/>
      </c>
      <c r="AM23" s="57" t="str">
        <f>IF(AND('Mapa final'!$AA$58="Alta",'Mapa final'!$AC$58="Catastrófico"),CONCATENATE("R8C",'Mapa final'!$Q$58),"")</f>
        <v/>
      </c>
      <c r="AN23" s="84"/>
      <c r="AO23" s="364"/>
      <c r="AP23" s="365"/>
      <c r="AQ23" s="365"/>
      <c r="AR23" s="365"/>
      <c r="AS23" s="365"/>
      <c r="AT23" s="366"/>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3">
      <c r="A24" s="84"/>
      <c r="B24" s="313"/>
      <c r="C24" s="313"/>
      <c r="D24" s="314"/>
      <c r="E24" s="354"/>
      <c r="F24" s="355"/>
      <c r="G24" s="355"/>
      <c r="H24" s="355"/>
      <c r="I24" s="371"/>
      <c r="J24" s="68" t="str">
        <f>IF(AND('Mapa final'!$AA$59="Alta",'Mapa final'!$AC$59="Leve"),CONCATENATE("R9C",'Mapa final'!$Q$59),"")</f>
        <v/>
      </c>
      <c r="K24" s="69" t="str">
        <f>IF(AND('Mapa final'!$AA$60="Alta",'Mapa final'!$AC$60="Leve"),CONCATENATE("R9C",'Mapa final'!$Q$60),"")</f>
        <v/>
      </c>
      <c r="L24" s="69" t="str">
        <f>IF(AND('Mapa final'!$AA$61="Alta",'Mapa final'!$AC$61="Leve"),CONCATENATE("R9C",'Mapa final'!$Q$61),"")</f>
        <v/>
      </c>
      <c r="M24" s="69" t="str">
        <f>IF(AND('Mapa final'!$AA$62="Alta",'Mapa final'!$AC$62="Leve"),CONCATENATE("R9C",'Mapa final'!$Q$62),"")</f>
        <v/>
      </c>
      <c r="N24" s="69" t="str">
        <f>IF(AND('Mapa final'!$AA$63="Alta",'Mapa final'!$AC$63="Leve"),CONCATENATE("R9C",'Mapa final'!$Q$63),"")</f>
        <v/>
      </c>
      <c r="O24" s="70" t="str">
        <f>IF(AND('Mapa final'!$AA$64="Alta",'Mapa final'!$AC$64="Leve"),CONCATENATE("R9C",'Mapa final'!$Q$64),"")</f>
        <v/>
      </c>
      <c r="P24" s="68" t="str">
        <f>IF(AND('Mapa final'!$AA$59="Alta",'Mapa final'!$AC$59="Menor"),CONCATENATE("R9C",'Mapa final'!$Q$59),"")</f>
        <v/>
      </c>
      <c r="Q24" s="69" t="str">
        <f>IF(AND('Mapa final'!$AA$60="Alta",'Mapa final'!$AC$60="Menor"),CONCATENATE("R9C",'Mapa final'!$Q$60),"")</f>
        <v/>
      </c>
      <c r="R24" s="69" t="str">
        <f>IF(AND('Mapa final'!$AA$61="Alta",'Mapa final'!$AC$61="Menor"),CONCATENATE("R9C",'Mapa final'!$Q$61),"")</f>
        <v/>
      </c>
      <c r="S24" s="69" t="str">
        <f>IF(AND('Mapa final'!$AA$62="Alta",'Mapa final'!$AC$62="Menor"),CONCATENATE("R9C",'Mapa final'!$Q$62),"")</f>
        <v/>
      </c>
      <c r="T24" s="69" t="str">
        <f>IF(AND('Mapa final'!$AA$63="Alta",'Mapa final'!$AC$63="Menor"),CONCATENATE("R9C",'Mapa final'!$Q$63),"")</f>
        <v/>
      </c>
      <c r="U24" s="70" t="str">
        <f>IF(AND('Mapa final'!$AA$64="Alta",'Mapa final'!$AC$64="Menor"),CONCATENATE("R9C",'Mapa final'!$Q$64),"")</f>
        <v/>
      </c>
      <c r="V24" s="52" t="str">
        <f>IF(AND('Mapa final'!$AA$59="Alta",'Mapa final'!$AC$59="Moderado"),CONCATENATE("R9C",'Mapa final'!$Q$59),"")</f>
        <v/>
      </c>
      <c r="W24" s="53" t="str">
        <f>IF(AND('Mapa final'!$AA$60="Alta",'Mapa final'!$AC$60="Moderado"),CONCATENATE("R9C",'Mapa final'!$Q$60),"")</f>
        <v/>
      </c>
      <c r="X24" s="58" t="str">
        <f>IF(AND('Mapa final'!$AA$61="Alta",'Mapa final'!$AC$61="Moderado"),CONCATENATE("R9C",'Mapa final'!$Q$61),"")</f>
        <v/>
      </c>
      <c r="Y24" s="58" t="str">
        <f>IF(AND('Mapa final'!$AA$62="Alta",'Mapa final'!$AC$62="Moderado"),CONCATENATE("R9C",'Mapa final'!$Q$62),"")</f>
        <v/>
      </c>
      <c r="Z24" s="58" t="str">
        <f>IF(AND('Mapa final'!$AA$63="Alta",'Mapa final'!$AC$63="Moderado"),CONCATENATE("R9C",'Mapa final'!$Q$63),"")</f>
        <v/>
      </c>
      <c r="AA24" s="54" t="str">
        <f>IF(AND('Mapa final'!$AA$64="Alta",'Mapa final'!$AC$64="Moderado"),CONCATENATE("R9C",'Mapa final'!$Q$64),"")</f>
        <v/>
      </c>
      <c r="AB24" s="52" t="str">
        <f>IF(AND('Mapa final'!$AA$59="Alta",'Mapa final'!$AC$59="Mayor"),CONCATENATE("R9C",'Mapa final'!$Q$59),"")</f>
        <v/>
      </c>
      <c r="AC24" s="53" t="str">
        <f>IF(AND('Mapa final'!$AA$60="Alta",'Mapa final'!$AC$60="Mayor"),CONCATENATE("R9C",'Mapa final'!$Q$60),"")</f>
        <v/>
      </c>
      <c r="AD24" s="58" t="str">
        <f>IF(AND('Mapa final'!$AA$61="Alta",'Mapa final'!$AC$61="Mayor"),CONCATENATE("R9C",'Mapa final'!$Q$61),"")</f>
        <v/>
      </c>
      <c r="AE24" s="58" t="str">
        <f>IF(AND('Mapa final'!$AA$62="Alta",'Mapa final'!$AC$62="Mayor"),CONCATENATE("R9C",'Mapa final'!$Q$62),"")</f>
        <v/>
      </c>
      <c r="AF24" s="58" t="str">
        <f>IF(AND('Mapa final'!$AA$63="Alta",'Mapa final'!$AC$63="Mayor"),CONCATENATE("R9C",'Mapa final'!$Q$63),"")</f>
        <v/>
      </c>
      <c r="AG24" s="54" t="str">
        <f>IF(AND('Mapa final'!$AA$64="Alta",'Mapa final'!$AC$64="Mayor"),CONCATENATE("R9C",'Mapa final'!$Q$64),"")</f>
        <v/>
      </c>
      <c r="AH24" s="55" t="str">
        <f>IF(AND('Mapa final'!$AA$59="Alta",'Mapa final'!$AC$59="Catastrófico"),CONCATENATE("R9C",'Mapa final'!$Q$59),"")</f>
        <v/>
      </c>
      <c r="AI24" s="56" t="str">
        <f>IF(AND('Mapa final'!$AA$60="Alta",'Mapa final'!$AC$60="Catastrófico"),CONCATENATE("R9C",'Mapa final'!$Q$60),"")</f>
        <v/>
      </c>
      <c r="AJ24" s="56" t="str">
        <f>IF(AND('Mapa final'!$AA$61="Alta",'Mapa final'!$AC$61="Catastrófico"),CONCATENATE("R9C",'Mapa final'!$Q$61),"")</f>
        <v/>
      </c>
      <c r="AK24" s="56" t="str">
        <f>IF(AND('Mapa final'!$AA$62="Alta",'Mapa final'!$AC$62="Catastrófico"),CONCATENATE("R9C",'Mapa final'!$Q$62),"")</f>
        <v/>
      </c>
      <c r="AL24" s="56" t="str">
        <f>IF(AND('Mapa final'!$AA$63="Alta",'Mapa final'!$AC$63="Catastrófico"),CONCATENATE("R9C",'Mapa final'!$Q$63),"")</f>
        <v/>
      </c>
      <c r="AM24" s="57" t="str">
        <f>IF(AND('Mapa final'!$AA$64="Alta",'Mapa final'!$AC$64="Catastrófico"),CONCATENATE("R9C",'Mapa final'!$Q$64),"")</f>
        <v/>
      </c>
      <c r="AN24" s="84"/>
      <c r="AO24" s="364"/>
      <c r="AP24" s="365"/>
      <c r="AQ24" s="365"/>
      <c r="AR24" s="365"/>
      <c r="AS24" s="365"/>
      <c r="AT24" s="366"/>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5">
      <c r="A25" s="84"/>
      <c r="B25" s="313"/>
      <c r="C25" s="313"/>
      <c r="D25" s="314"/>
      <c r="E25" s="357"/>
      <c r="F25" s="358"/>
      <c r="G25" s="358"/>
      <c r="H25" s="358"/>
      <c r="I25" s="358"/>
      <c r="J25" s="71" t="str">
        <f>IF(AND('Mapa final'!$AA$65="Alta",'Mapa final'!$AC$65="Leve"),CONCATENATE("R10C",'Mapa final'!$Q$65),"")</f>
        <v/>
      </c>
      <c r="K25" s="72" t="str">
        <f>IF(AND('Mapa final'!$AA$66="Alta",'Mapa final'!$AC$66="Leve"),CONCATENATE("R10C",'Mapa final'!$Q$66),"")</f>
        <v/>
      </c>
      <c r="L25" s="72" t="str">
        <f>IF(AND('Mapa final'!$AA$67="Alta",'Mapa final'!$AC$67="Leve"),CONCATENATE("R10C",'Mapa final'!$Q$67),"")</f>
        <v/>
      </c>
      <c r="M25" s="72" t="str">
        <f>IF(AND('Mapa final'!$AA$68="Alta",'Mapa final'!$AC$68="Leve"),CONCATENATE("R10C",'Mapa final'!$Q$68),"")</f>
        <v/>
      </c>
      <c r="N25" s="72" t="str">
        <f>IF(AND('Mapa final'!$AA$69="Alta",'Mapa final'!$AC$69="Leve"),CONCATENATE("R10C",'Mapa final'!$Q$69),"")</f>
        <v/>
      </c>
      <c r="O25" s="73" t="str">
        <f>IF(AND('Mapa final'!$AA$70="Alta",'Mapa final'!$AC$70="Leve"),CONCATENATE("R10C",'Mapa final'!$Q$70),"")</f>
        <v/>
      </c>
      <c r="P25" s="71" t="str">
        <f>IF(AND('Mapa final'!$AA$65="Alta",'Mapa final'!$AC$65="Menor"),CONCATENATE("R10C",'Mapa final'!$Q$65),"")</f>
        <v/>
      </c>
      <c r="Q25" s="72" t="str">
        <f>IF(AND('Mapa final'!$AA$66="Alta",'Mapa final'!$AC$66="Menor"),CONCATENATE("R10C",'Mapa final'!$Q$66),"")</f>
        <v/>
      </c>
      <c r="R25" s="72" t="str">
        <f>IF(AND('Mapa final'!$AA$67="Alta",'Mapa final'!$AC$67="Menor"),CONCATENATE("R10C",'Mapa final'!$Q$67),"")</f>
        <v/>
      </c>
      <c r="S25" s="72" t="str">
        <f>IF(AND('Mapa final'!$AA$68="Alta",'Mapa final'!$AC$68="Menor"),CONCATENATE("R10C",'Mapa final'!$Q$68),"")</f>
        <v/>
      </c>
      <c r="T25" s="72" t="str">
        <f>IF(AND('Mapa final'!$AA$69="Alta",'Mapa final'!$AC$69="Menor"),CONCATENATE("R10C",'Mapa final'!$Q$69),"")</f>
        <v/>
      </c>
      <c r="U25" s="73" t="str">
        <f>IF(AND('Mapa final'!$AA$70="Alta",'Mapa final'!$AC$70="Menor"),CONCATENATE("R10C",'Mapa final'!$Q$70),"")</f>
        <v/>
      </c>
      <c r="V25" s="59" t="str">
        <f>IF(AND('Mapa final'!$AA$65="Alta",'Mapa final'!$AC$65="Moderado"),CONCATENATE("R10C",'Mapa final'!$Q$65),"")</f>
        <v/>
      </c>
      <c r="W25" s="60" t="str">
        <f>IF(AND('Mapa final'!$AA$66="Alta",'Mapa final'!$AC$66="Moderado"),CONCATENATE("R10C",'Mapa final'!$Q$66),"")</f>
        <v/>
      </c>
      <c r="X25" s="60" t="str">
        <f>IF(AND('Mapa final'!$AA$67="Alta",'Mapa final'!$AC$67="Moderado"),CONCATENATE("R10C",'Mapa final'!$Q$67),"")</f>
        <v/>
      </c>
      <c r="Y25" s="60" t="str">
        <f>IF(AND('Mapa final'!$AA$68="Alta",'Mapa final'!$AC$68="Moderado"),CONCATENATE("R10C",'Mapa final'!$Q$68),"")</f>
        <v/>
      </c>
      <c r="Z25" s="60" t="str">
        <f>IF(AND('Mapa final'!$AA$69="Alta",'Mapa final'!$AC$69="Moderado"),CONCATENATE("R10C",'Mapa final'!$Q$69),"")</f>
        <v/>
      </c>
      <c r="AA25" s="61" t="str">
        <f>IF(AND('Mapa final'!$AA$70="Alta",'Mapa final'!$AC$70="Moderado"),CONCATENATE("R10C",'Mapa final'!$Q$70),"")</f>
        <v/>
      </c>
      <c r="AB25" s="59" t="str">
        <f>IF(AND('Mapa final'!$AA$65="Alta",'Mapa final'!$AC$65="Mayor"),CONCATENATE("R10C",'Mapa final'!$Q$65),"")</f>
        <v/>
      </c>
      <c r="AC25" s="60" t="str">
        <f>IF(AND('Mapa final'!$AA$66="Alta",'Mapa final'!$AC$66="Mayor"),CONCATENATE("R10C",'Mapa final'!$Q$66),"")</f>
        <v/>
      </c>
      <c r="AD25" s="60" t="str">
        <f>IF(AND('Mapa final'!$AA$67="Alta",'Mapa final'!$AC$67="Mayor"),CONCATENATE("R10C",'Mapa final'!$Q$67),"")</f>
        <v/>
      </c>
      <c r="AE25" s="60" t="str">
        <f>IF(AND('Mapa final'!$AA$68="Alta",'Mapa final'!$AC$68="Mayor"),CONCATENATE("R10C",'Mapa final'!$Q$68),"")</f>
        <v/>
      </c>
      <c r="AF25" s="60" t="str">
        <f>IF(AND('Mapa final'!$AA$69="Alta",'Mapa final'!$AC$69="Mayor"),CONCATENATE("R10C",'Mapa final'!$Q$69),"")</f>
        <v/>
      </c>
      <c r="AG25" s="61" t="str">
        <f>IF(AND('Mapa final'!$AA$70="Alta",'Mapa final'!$AC$70="Mayor"),CONCATENATE("R10C",'Mapa final'!$Q$70),"")</f>
        <v/>
      </c>
      <c r="AH25" s="62" t="str">
        <f>IF(AND('Mapa final'!$AA$65="Alta",'Mapa final'!$AC$65="Catastrófico"),CONCATENATE("R10C",'Mapa final'!$Q$65),"")</f>
        <v/>
      </c>
      <c r="AI25" s="63" t="str">
        <f>IF(AND('Mapa final'!$AA$66="Alta",'Mapa final'!$AC$66="Catastrófico"),CONCATENATE("R10C",'Mapa final'!$Q$66),"")</f>
        <v/>
      </c>
      <c r="AJ25" s="63" t="str">
        <f>IF(AND('Mapa final'!$AA$67="Alta",'Mapa final'!$AC$67="Catastrófico"),CONCATENATE("R10C",'Mapa final'!$Q$67),"")</f>
        <v/>
      </c>
      <c r="AK25" s="63" t="str">
        <f>IF(AND('Mapa final'!$AA$68="Alta",'Mapa final'!$AC$68="Catastrófico"),CONCATENATE("R10C",'Mapa final'!$Q$68),"")</f>
        <v/>
      </c>
      <c r="AL25" s="63" t="str">
        <f>IF(AND('Mapa final'!$AA$69="Alta",'Mapa final'!$AC$69="Catastrófico"),CONCATENATE("R10C",'Mapa final'!$Q$69),"")</f>
        <v/>
      </c>
      <c r="AM25" s="64" t="str">
        <f>IF(AND('Mapa final'!$AA$70="Alta",'Mapa final'!$AC$70="Catastrófico"),CONCATENATE("R10C",'Mapa final'!$Q$70),"")</f>
        <v/>
      </c>
      <c r="AN25" s="84"/>
      <c r="AO25" s="367"/>
      <c r="AP25" s="368"/>
      <c r="AQ25" s="368"/>
      <c r="AR25" s="368"/>
      <c r="AS25" s="368"/>
      <c r="AT25" s="369"/>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3">
      <c r="A26" s="84"/>
      <c r="B26" s="313"/>
      <c r="C26" s="313"/>
      <c r="D26" s="314"/>
      <c r="E26" s="351" t="s">
        <v>109</v>
      </c>
      <c r="F26" s="352"/>
      <c r="G26" s="352"/>
      <c r="H26" s="352"/>
      <c r="I26" s="353"/>
      <c r="J26" s="65" t="str">
        <f>IF(AND('Mapa final'!$AA$11="Media",'Mapa final'!$AC$11="Leve"),CONCATENATE("R1C",'Mapa final'!$Q$11),"")</f>
        <v/>
      </c>
      <c r="K26" s="66" t="str">
        <f>IF(AND('Mapa final'!$AA$12="Media",'Mapa final'!$AC$12="Leve"),CONCATENATE("R1C",'Mapa final'!$Q$12),"")</f>
        <v/>
      </c>
      <c r="L26" s="66" t="str">
        <f>IF(AND('Mapa final'!$AA$13="Media",'Mapa final'!$AC$13="Leve"),CONCATENATE("R1C",'Mapa final'!$Q$13),"")</f>
        <v/>
      </c>
      <c r="M26" s="66" t="str">
        <f>IF(AND('Mapa final'!$AA$14="Media",'Mapa final'!$AC$14="Leve"),CONCATENATE("R1C",'Mapa final'!$Q$14),"")</f>
        <v/>
      </c>
      <c r="N26" s="66" t="str">
        <f>IF(AND('Mapa final'!$AA$15="Media",'Mapa final'!$AC$15="Leve"),CONCATENATE("R1C",'Mapa final'!$Q$15),"")</f>
        <v/>
      </c>
      <c r="O26" s="67" t="str">
        <f>IF(AND('Mapa final'!$AA$16="Media",'Mapa final'!$AC$16="Leve"),CONCATENATE("R1C",'Mapa final'!$Q$16),"")</f>
        <v/>
      </c>
      <c r="P26" s="65" t="str">
        <f>IF(AND('Mapa final'!$AA$11="Media",'Mapa final'!$AC$11="Menor"),CONCATENATE("R1C",'Mapa final'!$Q$11),"")</f>
        <v/>
      </c>
      <c r="Q26" s="66" t="str">
        <f>IF(AND('Mapa final'!$AA$12="Media",'Mapa final'!$AC$12="Menor"),CONCATENATE("R1C",'Mapa final'!$Q$12),"")</f>
        <v/>
      </c>
      <c r="R26" s="66" t="str">
        <f>IF(AND('Mapa final'!$AA$13="Media",'Mapa final'!$AC$13="Menor"),CONCATENATE("R1C",'Mapa final'!$Q$13),"")</f>
        <v/>
      </c>
      <c r="S26" s="66" t="str">
        <f>IF(AND('Mapa final'!$AA$14="Media",'Mapa final'!$AC$14="Menor"),CONCATENATE("R1C",'Mapa final'!$Q$14),"")</f>
        <v/>
      </c>
      <c r="T26" s="66" t="str">
        <f>IF(AND('Mapa final'!$AA$15="Media",'Mapa final'!$AC$15="Menor"),CONCATENATE("R1C",'Mapa final'!$Q$15),"")</f>
        <v/>
      </c>
      <c r="U26" s="67" t="str">
        <f>IF(AND('Mapa final'!$AA$16="Media",'Mapa final'!$AC$16="Menor"),CONCATENATE("R1C",'Mapa final'!$Q$16),"")</f>
        <v/>
      </c>
      <c r="V26" s="65" t="str">
        <f>IF(AND('Mapa final'!$AA$11="Media",'Mapa final'!$AC$11="Moderado"),CONCATENATE("R1C",'Mapa final'!$Q$11),"")</f>
        <v/>
      </c>
      <c r="W26" s="66" t="str">
        <f>IF(AND('Mapa final'!$AA$12="Media",'Mapa final'!$AC$12="Moderado"),CONCATENATE("R1C",'Mapa final'!$Q$12),"")</f>
        <v/>
      </c>
      <c r="X26" s="66" t="str">
        <f>IF(AND('Mapa final'!$AA$13="Media",'Mapa final'!$AC$13="Moderado"),CONCATENATE("R1C",'Mapa final'!$Q$13),"")</f>
        <v/>
      </c>
      <c r="Y26" s="66" t="str">
        <f>IF(AND('Mapa final'!$AA$14="Media",'Mapa final'!$AC$14="Moderado"),CONCATENATE("R1C",'Mapa final'!$Q$14),"")</f>
        <v/>
      </c>
      <c r="Z26" s="66" t="str">
        <f>IF(AND('Mapa final'!$AA$15="Media",'Mapa final'!$AC$15="Moderado"),CONCATENATE("R1C",'Mapa final'!$Q$15),"")</f>
        <v/>
      </c>
      <c r="AA26" s="67" t="str">
        <f>IF(AND('Mapa final'!$AA$16="Media",'Mapa final'!$AC$16="Moderado"),CONCATENATE("R1C",'Mapa final'!$Q$16),"")</f>
        <v/>
      </c>
      <c r="AB26" s="46" t="str">
        <f>IF(AND('Mapa final'!$AA$11="Media",'Mapa final'!$AC$11="Mayor"),CONCATENATE("R1C",'Mapa final'!$Q$11),"")</f>
        <v/>
      </c>
      <c r="AC26" s="47" t="str">
        <f>IF(AND('Mapa final'!$AA$12="Media",'Mapa final'!$AC$12="Mayor"),CONCATENATE("R1C",'Mapa final'!$Q$12),"")</f>
        <v/>
      </c>
      <c r="AD26" s="47" t="str">
        <f>IF(AND('Mapa final'!$AA$13="Media",'Mapa final'!$AC$13="Mayor"),CONCATENATE("R1C",'Mapa final'!$Q$13),"")</f>
        <v/>
      </c>
      <c r="AE26" s="47" t="str">
        <f>IF(AND('Mapa final'!$AA$14="Media",'Mapa final'!$AC$14="Mayor"),CONCATENATE("R1C",'Mapa final'!$Q$14),"")</f>
        <v/>
      </c>
      <c r="AF26" s="47" t="str">
        <f>IF(AND('Mapa final'!$AA$15="Media",'Mapa final'!$AC$15="Mayor"),CONCATENATE("R1C",'Mapa final'!$Q$15),"")</f>
        <v/>
      </c>
      <c r="AG26" s="48" t="str">
        <f>IF(AND('Mapa final'!$AA$16="Media",'Mapa final'!$AC$16="Mayor"),CONCATENATE("R1C",'Mapa final'!$Q$16),"")</f>
        <v/>
      </c>
      <c r="AH26" s="49" t="str">
        <f>IF(AND('Mapa final'!$AA$11="Media",'Mapa final'!$AC$11="Catastrófico"),CONCATENATE("R1C",'Mapa final'!$Q$11),"")</f>
        <v/>
      </c>
      <c r="AI26" s="50" t="str">
        <f>IF(AND('Mapa final'!$AA$12="Media",'Mapa final'!$AC$12="Catastrófico"),CONCATENATE("R1C",'Mapa final'!$Q$12),"")</f>
        <v/>
      </c>
      <c r="AJ26" s="50" t="str">
        <f>IF(AND('Mapa final'!$AA$13="Media",'Mapa final'!$AC$13="Catastrófico"),CONCATENATE("R1C",'Mapa final'!$Q$13),"")</f>
        <v/>
      </c>
      <c r="AK26" s="50" t="str">
        <f>IF(AND('Mapa final'!$AA$14="Media",'Mapa final'!$AC$14="Catastrófico"),CONCATENATE("R1C",'Mapa final'!$Q$14),"")</f>
        <v/>
      </c>
      <c r="AL26" s="50" t="str">
        <f>IF(AND('Mapa final'!$AA$15="Media",'Mapa final'!$AC$15="Catastrófico"),CONCATENATE("R1C",'Mapa final'!$Q$15),"")</f>
        <v/>
      </c>
      <c r="AM26" s="51" t="str">
        <f>IF(AND('Mapa final'!$AA$16="Media",'Mapa final'!$AC$16="Catastrófico"),CONCATENATE("R1C",'Mapa final'!$Q$16),"")</f>
        <v/>
      </c>
      <c r="AN26" s="84"/>
      <c r="AO26" s="392" t="s">
        <v>78</v>
      </c>
      <c r="AP26" s="393"/>
      <c r="AQ26" s="393"/>
      <c r="AR26" s="393"/>
      <c r="AS26" s="393"/>
      <c r="AT26" s="39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3">
      <c r="A27" s="84"/>
      <c r="B27" s="313"/>
      <c r="C27" s="313"/>
      <c r="D27" s="314"/>
      <c r="E27" s="370"/>
      <c r="F27" s="371"/>
      <c r="G27" s="371"/>
      <c r="H27" s="371"/>
      <c r="I27" s="356"/>
      <c r="J27" s="68" t="str">
        <f>IF(AND('Mapa final'!$AA$17="Media",'Mapa final'!$AC$17="Leve"),CONCATENATE("R2C",'Mapa final'!$Q$17),"")</f>
        <v/>
      </c>
      <c r="K27" s="69" t="str">
        <f>IF(AND('Mapa final'!$AA$18="Media",'Mapa final'!$AC$18="Leve"),CONCATENATE("R2C",'Mapa final'!$Q$18),"")</f>
        <v/>
      </c>
      <c r="L27" s="69" t="str">
        <f>IF(AND('Mapa final'!$AA$19="Media",'Mapa final'!$AC$19="Leve"),CONCATENATE("R2C",'Mapa final'!$Q$19),"")</f>
        <v/>
      </c>
      <c r="M27" s="69" t="str">
        <f>IF(AND('Mapa final'!$AA$20="Media",'Mapa final'!$AC$20="Leve"),CONCATENATE("R2C",'Mapa final'!$Q$20),"")</f>
        <v/>
      </c>
      <c r="N27" s="69" t="str">
        <f>IF(AND('Mapa final'!$AA$21="Media",'Mapa final'!$AC$21="Leve"),CONCATENATE("R2C",'Mapa final'!$Q$21),"")</f>
        <v/>
      </c>
      <c r="O27" s="70" t="str">
        <f>IF(AND('Mapa final'!$AA$22="Media",'Mapa final'!$AC$22="Leve"),CONCATENATE("R2C",'Mapa final'!$Q$22),"")</f>
        <v/>
      </c>
      <c r="P27" s="68" t="str">
        <f>IF(AND('Mapa final'!$AA$17="Media",'Mapa final'!$AC$17="Menor"),CONCATENATE("R2C",'Mapa final'!$Q$17),"")</f>
        <v/>
      </c>
      <c r="Q27" s="69" t="str">
        <f>IF(AND('Mapa final'!$AA$18="Media",'Mapa final'!$AC$18="Menor"),CONCATENATE("R2C",'Mapa final'!$Q$18),"")</f>
        <v/>
      </c>
      <c r="R27" s="69" t="str">
        <f>IF(AND('Mapa final'!$AA$19="Media",'Mapa final'!$AC$19="Menor"),CONCATENATE("R2C",'Mapa final'!$Q$19),"")</f>
        <v/>
      </c>
      <c r="S27" s="69" t="str">
        <f>IF(AND('Mapa final'!$AA$20="Media",'Mapa final'!$AC$20="Menor"),CONCATENATE("R2C",'Mapa final'!$Q$20),"")</f>
        <v/>
      </c>
      <c r="T27" s="69" t="str">
        <f>IF(AND('Mapa final'!$AA$21="Media",'Mapa final'!$AC$21="Menor"),CONCATENATE("R2C",'Mapa final'!$Q$21),"")</f>
        <v/>
      </c>
      <c r="U27" s="70" t="str">
        <f>IF(AND('Mapa final'!$AA$22="Media",'Mapa final'!$AC$22="Menor"),CONCATENATE("R2C",'Mapa final'!$Q$22),"")</f>
        <v/>
      </c>
      <c r="V27" s="68" t="str">
        <f>IF(AND('Mapa final'!$AA$17="Media",'Mapa final'!$AC$17="Moderado"),CONCATENATE("R2C",'Mapa final'!$Q$17),"")</f>
        <v/>
      </c>
      <c r="W27" s="69" t="str">
        <f>IF(AND('Mapa final'!$AA$18="Media",'Mapa final'!$AC$18="Moderado"),CONCATENATE("R2C",'Mapa final'!$Q$18),"")</f>
        <v/>
      </c>
      <c r="X27" s="69" t="str">
        <f>IF(AND('Mapa final'!$AA$19="Media",'Mapa final'!$AC$19="Moderado"),CONCATENATE("R2C",'Mapa final'!$Q$19),"")</f>
        <v/>
      </c>
      <c r="Y27" s="69" t="str">
        <f>IF(AND('Mapa final'!$AA$20="Media",'Mapa final'!$AC$20="Moderado"),CONCATENATE("R2C",'Mapa final'!$Q$20),"")</f>
        <v/>
      </c>
      <c r="Z27" s="69" t="str">
        <f>IF(AND('Mapa final'!$AA$21="Media",'Mapa final'!$AC$21="Moderado"),CONCATENATE("R2C",'Mapa final'!$Q$21),"")</f>
        <v/>
      </c>
      <c r="AA27" s="70" t="str">
        <f>IF(AND('Mapa final'!$AA$22="Media",'Mapa final'!$AC$22="Moderado"),CONCATENATE("R2C",'Mapa final'!$Q$22),"")</f>
        <v/>
      </c>
      <c r="AB27" s="52" t="str">
        <f>IF(AND('Mapa final'!$AA$17="Media",'Mapa final'!$AC$17="Mayor"),CONCATENATE("R2C",'Mapa final'!$Q$17),"")</f>
        <v/>
      </c>
      <c r="AC27" s="53" t="str">
        <f>IF(AND('Mapa final'!$AA$18="Media",'Mapa final'!$AC$18="Mayor"),CONCATENATE("R2C",'Mapa final'!$Q$18),"")</f>
        <v/>
      </c>
      <c r="AD27" s="53" t="str">
        <f>IF(AND('Mapa final'!$AA$19="Media",'Mapa final'!$AC$19="Mayor"),CONCATENATE("R2C",'Mapa final'!$Q$19),"")</f>
        <v/>
      </c>
      <c r="AE27" s="53" t="str">
        <f>IF(AND('Mapa final'!$AA$20="Media",'Mapa final'!$AC$20="Mayor"),CONCATENATE("R2C",'Mapa final'!$Q$20),"")</f>
        <v/>
      </c>
      <c r="AF27" s="53" t="str">
        <f>IF(AND('Mapa final'!$AA$21="Media",'Mapa final'!$AC$21="Mayor"),CONCATENATE("R2C",'Mapa final'!$Q$21),"")</f>
        <v/>
      </c>
      <c r="AG27" s="54" t="str">
        <f>IF(AND('Mapa final'!$AA$22="Media",'Mapa final'!$AC$22="Mayor"),CONCATENATE("R2C",'Mapa final'!$Q$22),"")</f>
        <v/>
      </c>
      <c r="AH27" s="55" t="str">
        <f>IF(AND('Mapa final'!$AA$17="Media",'Mapa final'!$AC$17="Catastrófico"),CONCATENATE("R2C",'Mapa final'!$Q$17),"")</f>
        <v/>
      </c>
      <c r="AI27" s="56" t="str">
        <f>IF(AND('Mapa final'!$AA$18="Media",'Mapa final'!$AC$18="Catastrófico"),CONCATENATE("R2C",'Mapa final'!$Q$18),"")</f>
        <v/>
      </c>
      <c r="AJ27" s="56" t="str">
        <f>IF(AND('Mapa final'!$AA$19="Media",'Mapa final'!$AC$19="Catastrófico"),CONCATENATE("R2C",'Mapa final'!$Q$19),"")</f>
        <v/>
      </c>
      <c r="AK27" s="56" t="str">
        <f>IF(AND('Mapa final'!$AA$20="Media",'Mapa final'!$AC$20="Catastrófico"),CONCATENATE("R2C",'Mapa final'!$Q$20),"")</f>
        <v/>
      </c>
      <c r="AL27" s="56" t="str">
        <f>IF(AND('Mapa final'!$AA$21="Media",'Mapa final'!$AC$21="Catastrófico"),CONCATENATE("R2C",'Mapa final'!$Q$21),"")</f>
        <v/>
      </c>
      <c r="AM27" s="57" t="str">
        <f>IF(AND('Mapa final'!$AA$22="Media",'Mapa final'!$AC$22="Catastrófico"),CONCATENATE("R2C",'Mapa final'!$Q$22),"")</f>
        <v/>
      </c>
      <c r="AN27" s="84"/>
      <c r="AO27" s="395"/>
      <c r="AP27" s="396"/>
      <c r="AQ27" s="396"/>
      <c r="AR27" s="396"/>
      <c r="AS27" s="396"/>
      <c r="AT27" s="397"/>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3">
      <c r="A28" s="84"/>
      <c r="B28" s="313"/>
      <c r="C28" s="313"/>
      <c r="D28" s="314"/>
      <c r="E28" s="354"/>
      <c r="F28" s="355"/>
      <c r="G28" s="355"/>
      <c r="H28" s="355"/>
      <c r="I28" s="356"/>
      <c r="J28" s="68" t="str">
        <f>IF(AND('Mapa final'!$AA$23="Media",'Mapa final'!$AC$23="Leve"),CONCATENATE("R3C",'Mapa final'!$Q$23),"")</f>
        <v/>
      </c>
      <c r="K28" s="69" t="str">
        <f>IF(AND('Mapa final'!$AA$24="Media",'Mapa final'!$AC$24="Leve"),CONCATENATE("R3C",'Mapa final'!$Q$24),"")</f>
        <v/>
      </c>
      <c r="L28" s="69" t="str">
        <f>IF(AND('Mapa final'!$AA$25="Media",'Mapa final'!$AC$25="Leve"),CONCATENATE("R3C",'Mapa final'!$Q$25),"")</f>
        <v/>
      </c>
      <c r="M28" s="69" t="str">
        <f>IF(AND('Mapa final'!$AA$26="Media",'Mapa final'!$AC$26="Leve"),CONCATENATE("R3C",'Mapa final'!$Q$26),"")</f>
        <v/>
      </c>
      <c r="N28" s="69" t="str">
        <f>IF(AND('Mapa final'!$AA$27="Media",'Mapa final'!$AC$27="Leve"),CONCATENATE("R3C",'Mapa final'!$Q$27),"")</f>
        <v/>
      </c>
      <c r="O28" s="70" t="str">
        <f>IF(AND('Mapa final'!$AA$28="Media",'Mapa final'!$AC$28="Leve"),CONCATENATE("R3C",'Mapa final'!$Q$28),"")</f>
        <v/>
      </c>
      <c r="P28" s="68" t="str">
        <f>IF(AND('Mapa final'!$AA$23="Media",'Mapa final'!$AC$23="Menor"),CONCATENATE("R3C",'Mapa final'!$Q$23),"")</f>
        <v/>
      </c>
      <c r="Q28" s="69" t="str">
        <f>IF(AND('Mapa final'!$AA$24="Media",'Mapa final'!$AC$24="Menor"),CONCATENATE("R3C",'Mapa final'!$Q$24),"")</f>
        <v/>
      </c>
      <c r="R28" s="69" t="str">
        <f>IF(AND('Mapa final'!$AA$25="Media",'Mapa final'!$AC$25="Menor"),CONCATENATE("R3C",'Mapa final'!$Q$25),"")</f>
        <v/>
      </c>
      <c r="S28" s="69" t="str">
        <f>IF(AND('Mapa final'!$AA$26="Media",'Mapa final'!$AC$26="Menor"),CONCATENATE("R3C",'Mapa final'!$Q$26),"")</f>
        <v/>
      </c>
      <c r="T28" s="69" t="str">
        <f>IF(AND('Mapa final'!$AA$27="Media",'Mapa final'!$AC$27="Menor"),CONCATENATE("R3C",'Mapa final'!$Q$27),"")</f>
        <v/>
      </c>
      <c r="U28" s="70" t="str">
        <f>IF(AND('Mapa final'!$AA$28="Media",'Mapa final'!$AC$28="Menor"),CONCATENATE("R3C",'Mapa final'!$Q$28),"")</f>
        <v/>
      </c>
      <c r="V28" s="68" t="str">
        <f>IF(AND('Mapa final'!$AA$23="Media",'Mapa final'!$AC$23="Moderado"),CONCATENATE("R3C",'Mapa final'!$Q$23),"")</f>
        <v/>
      </c>
      <c r="W28" s="69" t="str">
        <f>IF(AND('Mapa final'!$AA$24="Media",'Mapa final'!$AC$24="Moderado"),CONCATENATE("R3C",'Mapa final'!$Q$24),"")</f>
        <v/>
      </c>
      <c r="X28" s="69" t="str">
        <f>IF(AND('Mapa final'!$AA$25="Media",'Mapa final'!$AC$25="Moderado"),CONCATENATE("R3C",'Mapa final'!$Q$25),"")</f>
        <v/>
      </c>
      <c r="Y28" s="69" t="str">
        <f>IF(AND('Mapa final'!$AA$26="Media",'Mapa final'!$AC$26="Moderado"),CONCATENATE("R3C",'Mapa final'!$Q$26),"")</f>
        <v/>
      </c>
      <c r="Z28" s="69" t="str">
        <f>IF(AND('Mapa final'!$AA$27="Media",'Mapa final'!$AC$27="Moderado"),CONCATENATE("R3C",'Mapa final'!$Q$27),"")</f>
        <v/>
      </c>
      <c r="AA28" s="70" t="str">
        <f>IF(AND('Mapa final'!$AA$28="Media",'Mapa final'!$AC$28="Moderado"),CONCATENATE("R3C",'Mapa final'!$Q$28),"")</f>
        <v/>
      </c>
      <c r="AB28" s="52" t="str">
        <f>IF(AND('Mapa final'!$AA$23="Media",'Mapa final'!$AC$23="Mayor"),CONCATENATE("R3C",'Mapa final'!$Q$23),"")</f>
        <v/>
      </c>
      <c r="AC28" s="53" t="str">
        <f>IF(AND('Mapa final'!$AA$24="Media",'Mapa final'!$AC$24="Mayor"),CONCATENATE("R3C",'Mapa final'!$Q$24),"")</f>
        <v/>
      </c>
      <c r="AD28" s="53" t="str">
        <f>IF(AND('Mapa final'!$AA$25="Media",'Mapa final'!$AC$25="Mayor"),CONCATENATE("R3C",'Mapa final'!$Q$25),"")</f>
        <v/>
      </c>
      <c r="AE28" s="53" t="str">
        <f>IF(AND('Mapa final'!$AA$26="Media",'Mapa final'!$AC$26="Mayor"),CONCATENATE("R3C",'Mapa final'!$Q$26),"")</f>
        <v/>
      </c>
      <c r="AF28" s="53" t="str">
        <f>IF(AND('Mapa final'!$AA$27="Media",'Mapa final'!$AC$27="Mayor"),CONCATENATE("R3C",'Mapa final'!$Q$27),"")</f>
        <v/>
      </c>
      <c r="AG28" s="54" t="str">
        <f>IF(AND('Mapa final'!$AA$28="Media",'Mapa final'!$AC$28="Mayor"),CONCATENATE("R3C",'Mapa final'!$Q$28),"")</f>
        <v/>
      </c>
      <c r="AH28" s="55" t="str">
        <f>IF(AND('Mapa final'!$AA$23="Media",'Mapa final'!$AC$23="Catastrófico"),CONCATENATE("R3C",'Mapa final'!$Q$23),"")</f>
        <v/>
      </c>
      <c r="AI28" s="56" t="str">
        <f>IF(AND('Mapa final'!$AA$24="Media",'Mapa final'!$AC$24="Catastrófico"),CONCATENATE("R3C",'Mapa final'!$Q$24),"")</f>
        <v/>
      </c>
      <c r="AJ28" s="56" t="str">
        <f>IF(AND('Mapa final'!$AA$25="Media",'Mapa final'!$AC$25="Catastrófico"),CONCATENATE("R3C",'Mapa final'!$Q$25),"")</f>
        <v/>
      </c>
      <c r="AK28" s="56" t="str">
        <f>IF(AND('Mapa final'!$AA$26="Media",'Mapa final'!$AC$26="Catastrófico"),CONCATENATE("R3C",'Mapa final'!$Q$26),"")</f>
        <v/>
      </c>
      <c r="AL28" s="56" t="str">
        <f>IF(AND('Mapa final'!$AA$27="Media",'Mapa final'!$AC$27="Catastrófico"),CONCATENATE("R3C",'Mapa final'!$Q$27),"")</f>
        <v/>
      </c>
      <c r="AM28" s="57" t="str">
        <f>IF(AND('Mapa final'!$AA$28="Media",'Mapa final'!$AC$28="Catastrófico"),CONCATENATE("R3C",'Mapa final'!$Q$28),"")</f>
        <v/>
      </c>
      <c r="AN28" s="84"/>
      <c r="AO28" s="395"/>
      <c r="AP28" s="396"/>
      <c r="AQ28" s="396"/>
      <c r="AR28" s="396"/>
      <c r="AS28" s="396"/>
      <c r="AT28" s="397"/>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3">
      <c r="A29" s="84"/>
      <c r="B29" s="313"/>
      <c r="C29" s="313"/>
      <c r="D29" s="314"/>
      <c r="E29" s="354"/>
      <c r="F29" s="355"/>
      <c r="G29" s="355"/>
      <c r="H29" s="355"/>
      <c r="I29" s="356"/>
      <c r="J29" s="68" t="str">
        <f>IF(AND('Mapa final'!$AA$29="Media",'Mapa final'!$AC$29="Leve"),CONCATENATE("R4C",'Mapa final'!$Q$29),"")</f>
        <v/>
      </c>
      <c r="K29" s="69" t="str">
        <f>IF(AND('Mapa final'!$AA$30="Media",'Mapa final'!$AC$30="Leve"),CONCATENATE("R4C",'Mapa final'!$Q$30),"")</f>
        <v/>
      </c>
      <c r="L29" s="69" t="str">
        <f>IF(AND('Mapa final'!$AA$31="Media",'Mapa final'!$AC$31="Leve"),CONCATENATE("R4C",'Mapa final'!$Q$31),"")</f>
        <v/>
      </c>
      <c r="M29" s="69" t="str">
        <f>IF(AND('Mapa final'!$AA$32="Media",'Mapa final'!$AC$32="Leve"),CONCATENATE("R4C",'Mapa final'!$Q$32),"")</f>
        <v/>
      </c>
      <c r="N29" s="69" t="str">
        <f>IF(AND('Mapa final'!$AA$33="Media",'Mapa final'!$AC$33="Leve"),CONCATENATE("R4C",'Mapa final'!$Q$33),"")</f>
        <v/>
      </c>
      <c r="O29" s="70" t="str">
        <f>IF(AND('Mapa final'!$AA$34="Media",'Mapa final'!$AC$34="Leve"),CONCATENATE("R4C",'Mapa final'!$Q$34),"")</f>
        <v/>
      </c>
      <c r="P29" s="68" t="str">
        <f>IF(AND('Mapa final'!$AA$29="Media",'Mapa final'!$AC$29="Menor"),CONCATENATE("R4C",'Mapa final'!$Q$29),"")</f>
        <v/>
      </c>
      <c r="Q29" s="69" t="str">
        <f>IF(AND('Mapa final'!$AA$30="Media",'Mapa final'!$AC$30="Menor"),CONCATENATE("R4C",'Mapa final'!$Q$30),"")</f>
        <v/>
      </c>
      <c r="R29" s="69" t="str">
        <f>IF(AND('Mapa final'!$AA$31="Media",'Mapa final'!$AC$31="Menor"),CONCATENATE("R4C",'Mapa final'!$Q$31),"")</f>
        <v/>
      </c>
      <c r="S29" s="69" t="str">
        <f>IF(AND('Mapa final'!$AA$32="Media",'Mapa final'!$AC$32="Menor"),CONCATENATE("R4C",'Mapa final'!$Q$32),"")</f>
        <v/>
      </c>
      <c r="T29" s="69" t="str">
        <f>IF(AND('Mapa final'!$AA$33="Media",'Mapa final'!$AC$33="Menor"),CONCATENATE("R4C",'Mapa final'!$Q$33),"")</f>
        <v/>
      </c>
      <c r="U29" s="70" t="str">
        <f>IF(AND('Mapa final'!$AA$34="Media",'Mapa final'!$AC$34="Menor"),CONCATENATE("R4C",'Mapa final'!$Q$34),"")</f>
        <v/>
      </c>
      <c r="V29" s="68" t="str">
        <f>IF(AND('Mapa final'!$AA$29="Media",'Mapa final'!$AC$29="Moderado"),CONCATENATE("R4C",'Mapa final'!$Q$29),"")</f>
        <v/>
      </c>
      <c r="W29" s="69" t="str">
        <f>IF(AND('Mapa final'!$AA$30="Media",'Mapa final'!$AC$30="Moderado"),CONCATENATE("R4C",'Mapa final'!$Q$30),"")</f>
        <v/>
      </c>
      <c r="X29" s="69" t="str">
        <f>IF(AND('Mapa final'!$AA$31="Media",'Mapa final'!$AC$31="Moderado"),CONCATENATE("R4C",'Mapa final'!$Q$31),"")</f>
        <v/>
      </c>
      <c r="Y29" s="69" t="str">
        <f>IF(AND('Mapa final'!$AA$32="Media",'Mapa final'!$AC$32="Moderado"),CONCATENATE("R4C",'Mapa final'!$Q$32),"")</f>
        <v/>
      </c>
      <c r="Z29" s="69" t="str">
        <f>IF(AND('Mapa final'!$AA$33="Media",'Mapa final'!$AC$33="Moderado"),CONCATENATE("R4C",'Mapa final'!$Q$33),"")</f>
        <v/>
      </c>
      <c r="AA29" s="70" t="str">
        <f>IF(AND('Mapa final'!$AA$34="Media",'Mapa final'!$AC$34="Moderado"),CONCATENATE("R4C",'Mapa final'!$Q$34),"")</f>
        <v/>
      </c>
      <c r="AB29" s="52" t="str">
        <f>IF(AND('Mapa final'!$AA$29="Media",'Mapa final'!$AC$29="Mayor"),CONCATENATE("R4C",'Mapa final'!$Q$29),"")</f>
        <v/>
      </c>
      <c r="AC29" s="53" t="str">
        <f>IF(AND('Mapa final'!$AA$30="Media",'Mapa final'!$AC$30="Mayor"),CONCATENATE("R4C",'Mapa final'!$Q$30),"")</f>
        <v/>
      </c>
      <c r="AD29" s="58" t="str">
        <f>IF(AND('Mapa final'!$AA$31="Media",'Mapa final'!$AC$31="Mayor"),CONCATENATE("R4C",'Mapa final'!$Q$31),"")</f>
        <v/>
      </c>
      <c r="AE29" s="58" t="str">
        <f>IF(AND('Mapa final'!$AA$32="Media",'Mapa final'!$AC$32="Mayor"),CONCATENATE("R4C",'Mapa final'!$Q$32),"")</f>
        <v/>
      </c>
      <c r="AF29" s="58" t="str">
        <f>IF(AND('Mapa final'!$AA$33="Media",'Mapa final'!$AC$33="Mayor"),CONCATENATE("R4C",'Mapa final'!$Q$33),"")</f>
        <v/>
      </c>
      <c r="AG29" s="54" t="str">
        <f>IF(AND('Mapa final'!$AA$34="Media",'Mapa final'!$AC$34="Mayor"),CONCATENATE("R4C",'Mapa final'!$Q$34),"")</f>
        <v/>
      </c>
      <c r="AH29" s="55" t="str">
        <f>IF(AND('Mapa final'!$AA$29="Media",'Mapa final'!$AC$29="Catastrófico"),CONCATENATE("R4C",'Mapa final'!$Q$29),"")</f>
        <v/>
      </c>
      <c r="AI29" s="56" t="str">
        <f>IF(AND('Mapa final'!$AA$30="Media",'Mapa final'!$AC$30="Catastrófico"),CONCATENATE("R4C",'Mapa final'!$Q$30),"")</f>
        <v/>
      </c>
      <c r="AJ29" s="56" t="str">
        <f>IF(AND('Mapa final'!$AA$31="Media",'Mapa final'!$AC$31="Catastrófico"),CONCATENATE("R4C",'Mapa final'!$Q$31),"")</f>
        <v/>
      </c>
      <c r="AK29" s="56" t="str">
        <f>IF(AND('Mapa final'!$AA$32="Media",'Mapa final'!$AC$32="Catastrófico"),CONCATENATE("R4C",'Mapa final'!$Q$32),"")</f>
        <v/>
      </c>
      <c r="AL29" s="56" t="str">
        <f>IF(AND('Mapa final'!$AA$33="Media",'Mapa final'!$AC$33="Catastrófico"),CONCATENATE("R4C",'Mapa final'!$Q$33),"")</f>
        <v/>
      </c>
      <c r="AM29" s="57" t="str">
        <f>IF(AND('Mapa final'!$AA$34="Media",'Mapa final'!$AC$34="Catastrófico"),CONCATENATE("R4C",'Mapa final'!$Q$34),"")</f>
        <v/>
      </c>
      <c r="AN29" s="84"/>
      <c r="AO29" s="395"/>
      <c r="AP29" s="396"/>
      <c r="AQ29" s="396"/>
      <c r="AR29" s="396"/>
      <c r="AS29" s="396"/>
      <c r="AT29" s="397"/>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3">
      <c r="A30" s="84"/>
      <c r="B30" s="313"/>
      <c r="C30" s="313"/>
      <c r="D30" s="314"/>
      <c r="E30" s="354"/>
      <c r="F30" s="355"/>
      <c r="G30" s="355"/>
      <c r="H30" s="355"/>
      <c r="I30" s="356"/>
      <c r="J30" s="68" t="str">
        <f>IF(AND('Mapa final'!$AA$35="Media",'Mapa final'!$AC$35="Leve"),CONCATENATE("R5C",'Mapa final'!$Q$35),"")</f>
        <v/>
      </c>
      <c r="K30" s="69" t="str">
        <f>IF(AND('Mapa final'!$AA$36="Media",'Mapa final'!$AC$36="Leve"),CONCATENATE("R5C",'Mapa final'!$Q$36),"")</f>
        <v/>
      </c>
      <c r="L30" s="69" t="str">
        <f>IF(AND('Mapa final'!$AA$37="Media",'Mapa final'!$AC$37="Leve"),CONCATENATE("R5C",'Mapa final'!$Q$37),"")</f>
        <v/>
      </c>
      <c r="M30" s="69" t="str">
        <f>IF(AND('Mapa final'!$AA$38="Media",'Mapa final'!$AC$38="Leve"),CONCATENATE("R5C",'Mapa final'!$Q$38),"")</f>
        <v/>
      </c>
      <c r="N30" s="69" t="str">
        <f>IF(AND('Mapa final'!$AA$39="Media",'Mapa final'!$AC$39="Leve"),CONCATENATE("R5C",'Mapa final'!$Q$39),"")</f>
        <v/>
      </c>
      <c r="O30" s="70" t="str">
        <f>IF(AND('Mapa final'!$AA$40="Media",'Mapa final'!$AC$40="Leve"),CONCATENATE("R5C",'Mapa final'!$Q$40),"")</f>
        <v/>
      </c>
      <c r="P30" s="68" t="str">
        <f>IF(AND('Mapa final'!$AA$35="Media",'Mapa final'!$AC$35="Menor"),CONCATENATE("R5C",'Mapa final'!$Q$35),"")</f>
        <v/>
      </c>
      <c r="Q30" s="69" t="str">
        <f>IF(AND('Mapa final'!$AA$36="Media",'Mapa final'!$AC$36="Menor"),CONCATENATE("R5C",'Mapa final'!$Q$36),"")</f>
        <v/>
      </c>
      <c r="R30" s="69" t="str">
        <f>IF(AND('Mapa final'!$AA$37="Media",'Mapa final'!$AC$37="Menor"),CONCATENATE("R5C",'Mapa final'!$Q$37),"")</f>
        <v/>
      </c>
      <c r="S30" s="69" t="str">
        <f>IF(AND('Mapa final'!$AA$38="Media",'Mapa final'!$AC$38="Menor"),CONCATENATE("R5C",'Mapa final'!$Q$38),"")</f>
        <v/>
      </c>
      <c r="T30" s="69" t="str">
        <f>IF(AND('Mapa final'!$AA$39="Media",'Mapa final'!$AC$39="Menor"),CONCATENATE("R5C",'Mapa final'!$Q$39),"")</f>
        <v/>
      </c>
      <c r="U30" s="70" t="str">
        <f>IF(AND('Mapa final'!$AA$40="Media",'Mapa final'!$AC$40="Menor"),CONCATENATE("R5C",'Mapa final'!$Q$40),"")</f>
        <v/>
      </c>
      <c r="V30" s="68" t="str">
        <f>IF(AND('Mapa final'!$AA$35="Media",'Mapa final'!$AC$35="Moderado"),CONCATENATE("R5C",'Mapa final'!$Q$35),"")</f>
        <v/>
      </c>
      <c r="W30" s="69" t="str">
        <f>IF(AND('Mapa final'!$AA$36="Media",'Mapa final'!$AC$36="Moderado"),CONCATENATE("R5C",'Mapa final'!$Q$36),"")</f>
        <v/>
      </c>
      <c r="X30" s="69" t="str">
        <f>IF(AND('Mapa final'!$AA$37="Media",'Mapa final'!$AC$37="Moderado"),CONCATENATE("R5C",'Mapa final'!$Q$37),"")</f>
        <v/>
      </c>
      <c r="Y30" s="69" t="str">
        <f>IF(AND('Mapa final'!$AA$38="Media",'Mapa final'!$AC$38="Moderado"),CONCATENATE("R5C",'Mapa final'!$Q$38),"")</f>
        <v/>
      </c>
      <c r="Z30" s="69" t="str">
        <f>IF(AND('Mapa final'!$AA$39="Media",'Mapa final'!$AC$39="Moderado"),CONCATENATE("R5C",'Mapa final'!$Q$39),"")</f>
        <v/>
      </c>
      <c r="AA30" s="70" t="str">
        <f>IF(AND('Mapa final'!$AA$40="Media",'Mapa final'!$AC$40="Moderado"),CONCATENATE("R5C",'Mapa final'!$Q$40),"")</f>
        <v/>
      </c>
      <c r="AB30" s="52" t="str">
        <f>IF(AND('Mapa final'!$AA$35="Media",'Mapa final'!$AC$35="Mayor"),CONCATENATE("R5C",'Mapa final'!$Q$35),"")</f>
        <v/>
      </c>
      <c r="AC30" s="53" t="str">
        <f>IF(AND('Mapa final'!$AA$36="Media",'Mapa final'!$AC$36="Mayor"),CONCATENATE("R5C",'Mapa final'!$Q$36),"")</f>
        <v/>
      </c>
      <c r="AD30" s="58" t="str">
        <f>IF(AND('Mapa final'!$AA$37="Media",'Mapa final'!$AC$37="Mayor"),CONCATENATE("R5C",'Mapa final'!$Q$37),"")</f>
        <v/>
      </c>
      <c r="AE30" s="58" t="str">
        <f>IF(AND('Mapa final'!$AA$38="Media",'Mapa final'!$AC$38="Mayor"),CONCATENATE("R5C",'Mapa final'!$Q$38),"")</f>
        <v/>
      </c>
      <c r="AF30" s="58" t="str">
        <f>IF(AND('Mapa final'!$AA$39="Media",'Mapa final'!$AC$39="Mayor"),CONCATENATE("R5C",'Mapa final'!$Q$39),"")</f>
        <v/>
      </c>
      <c r="AG30" s="54" t="str">
        <f>IF(AND('Mapa final'!$AA$40="Media",'Mapa final'!$AC$40="Mayor"),CONCATENATE("R5C",'Mapa final'!$Q$40),"")</f>
        <v/>
      </c>
      <c r="AH30" s="55" t="str">
        <f>IF(AND('Mapa final'!$AA$35="Media",'Mapa final'!$AC$35="Catastrófico"),CONCATENATE("R5C",'Mapa final'!$Q$35),"")</f>
        <v/>
      </c>
      <c r="AI30" s="56" t="str">
        <f>IF(AND('Mapa final'!$AA$36="Media",'Mapa final'!$AC$36="Catastrófico"),CONCATENATE("R5C",'Mapa final'!$Q$36),"")</f>
        <v/>
      </c>
      <c r="AJ30" s="56" t="str">
        <f>IF(AND('Mapa final'!$AA$37="Media",'Mapa final'!$AC$37="Catastrófico"),CONCATENATE("R5C",'Mapa final'!$Q$37),"")</f>
        <v/>
      </c>
      <c r="AK30" s="56" t="str">
        <f>IF(AND('Mapa final'!$AA$38="Media",'Mapa final'!$AC$38="Catastrófico"),CONCATENATE("R5C",'Mapa final'!$Q$38),"")</f>
        <v/>
      </c>
      <c r="AL30" s="56" t="str">
        <f>IF(AND('Mapa final'!$AA$39="Media",'Mapa final'!$AC$39="Catastrófico"),CONCATENATE("R5C",'Mapa final'!$Q$39),"")</f>
        <v/>
      </c>
      <c r="AM30" s="57" t="str">
        <f>IF(AND('Mapa final'!$AA$40="Media",'Mapa final'!$AC$40="Catastrófico"),CONCATENATE("R5C",'Mapa final'!$Q$40),"")</f>
        <v/>
      </c>
      <c r="AN30" s="84"/>
      <c r="AO30" s="395"/>
      <c r="AP30" s="396"/>
      <c r="AQ30" s="396"/>
      <c r="AR30" s="396"/>
      <c r="AS30" s="396"/>
      <c r="AT30" s="397"/>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3">
      <c r="A31" s="84"/>
      <c r="B31" s="313"/>
      <c r="C31" s="313"/>
      <c r="D31" s="314"/>
      <c r="E31" s="354"/>
      <c r="F31" s="355"/>
      <c r="G31" s="355"/>
      <c r="H31" s="355"/>
      <c r="I31" s="356"/>
      <c r="J31" s="68" t="str">
        <f>IF(AND('Mapa final'!$AA$41="Media",'Mapa final'!$AC$41="Leve"),CONCATENATE("R6C",'Mapa final'!$Q$41),"")</f>
        <v/>
      </c>
      <c r="K31" s="69" t="str">
        <f>IF(AND('Mapa final'!$AA$42="Media",'Mapa final'!$AC$42="Leve"),CONCATENATE("R6C",'Mapa final'!$Q$42),"")</f>
        <v/>
      </c>
      <c r="L31" s="69" t="str">
        <f>IF(AND('Mapa final'!$AA$43="Media",'Mapa final'!$AC$43="Leve"),CONCATENATE("R6C",'Mapa final'!$Q$43),"")</f>
        <v/>
      </c>
      <c r="M31" s="69" t="str">
        <f>IF(AND('Mapa final'!$AA$44="Media",'Mapa final'!$AC$44="Leve"),CONCATENATE("R6C",'Mapa final'!$Q$44),"")</f>
        <v/>
      </c>
      <c r="N31" s="69" t="str">
        <f>IF(AND('Mapa final'!$AA$45="Media",'Mapa final'!$AC$45="Leve"),CONCATENATE("R6C",'Mapa final'!$Q$45),"")</f>
        <v/>
      </c>
      <c r="O31" s="70" t="str">
        <f>IF(AND('Mapa final'!$AA$46="Media",'Mapa final'!$AC$46="Leve"),CONCATENATE("R6C",'Mapa final'!$Q$46),"")</f>
        <v/>
      </c>
      <c r="P31" s="68" t="str">
        <f>IF(AND('Mapa final'!$AA$41="Media",'Mapa final'!$AC$41="Menor"),CONCATENATE("R6C",'Mapa final'!$Q$41),"")</f>
        <v/>
      </c>
      <c r="Q31" s="69" t="str">
        <f>IF(AND('Mapa final'!$AA$42="Media",'Mapa final'!$AC$42="Menor"),CONCATENATE("R6C",'Mapa final'!$Q$42),"")</f>
        <v/>
      </c>
      <c r="R31" s="69" t="str">
        <f>IF(AND('Mapa final'!$AA$43="Media",'Mapa final'!$AC$43="Menor"),CONCATENATE("R6C",'Mapa final'!$Q$43),"")</f>
        <v/>
      </c>
      <c r="S31" s="69" t="str">
        <f>IF(AND('Mapa final'!$AA$44="Media",'Mapa final'!$AC$44="Menor"),CONCATENATE("R6C",'Mapa final'!$Q$44),"")</f>
        <v/>
      </c>
      <c r="T31" s="69" t="str">
        <f>IF(AND('Mapa final'!$AA$45="Media",'Mapa final'!$AC$45="Menor"),CONCATENATE("R6C",'Mapa final'!$Q$45),"")</f>
        <v/>
      </c>
      <c r="U31" s="70" t="str">
        <f>IF(AND('Mapa final'!$AA$46="Media",'Mapa final'!$AC$46="Menor"),CONCATENATE("R6C",'Mapa final'!$Q$46),"")</f>
        <v/>
      </c>
      <c r="V31" s="68" t="str">
        <f>IF(AND('Mapa final'!$AA$41="Media",'Mapa final'!$AC$41="Moderado"),CONCATENATE("R6C",'Mapa final'!$Q$41),"")</f>
        <v/>
      </c>
      <c r="W31" s="69" t="str">
        <f>IF(AND('Mapa final'!$AA$42="Media",'Mapa final'!$AC$42="Moderado"),CONCATENATE("R6C",'Mapa final'!$Q$42),"")</f>
        <v/>
      </c>
      <c r="X31" s="69" t="str">
        <f>IF(AND('Mapa final'!$AA$43="Media",'Mapa final'!$AC$43="Moderado"),CONCATENATE("R6C",'Mapa final'!$Q$43),"")</f>
        <v/>
      </c>
      <c r="Y31" s="69" t="str">
        <f>IF(AND('Mapa final'!$AA$44="Media",'Mapa final'!$AC$44="Moderado"),CONCATENATE("R6C",'Mapa final'!$Q$44),"")</f>
        <v/>
      </c>
      <c r="Z31" s="69" t="str">
        <f>IF(AND('Mapa final'!$AA$45="Media",'Mapa final'!$AC$45="Moderado"),CONCATENATE("R6C",'Mapa final'!$Q$45),"")</f>
        <v/>
      </c>
      <c r="AA31" s="70" t="str">
        <f>IF(AND('Mapa final'!$AA$46="Media",'Mapa final'!$AC$46="Moderado"),CONCATENATE("R6C",'Mapa final'!$Q$46),"")</f>
        <v/>
      </c>
      <c r="AB31" s="52" t="str">
        <f>IF(AND('Mapa final'!$AA$41="Media",'Mapa final'!$AC$41="Mayor"),CONCATENATE("R6C",'Mapa final'!$Q$41),"")</f>
        <v/>
      </c>
      <c r="AC31" s="53" t="str">
        <f>IF(AND('Mapa final'!$AA$42="Media",'Mapa final'!$AC$42="Mayor"),CONCATENATE("R6C",'Mapa final'!$Q$42),"")</f>
        <v/>
      </c>
      <c r="AD31" s="58" t="str">
        <f>IF(AND('Mapa final'!$AA$43="Media",'Mapa final'!$AC$43="Mayor"),CONCATENATE("R6C",'Mapa final'!$Q$43),"")</f>
        <v/>
      </c>
      <c r="AE31" s="58" t="str">
        <f>IF(AND('Mapa final'!$AA$44="Media",'Mapa final'!$AC$44="Mayor"),CONCATENATE("R6C",'Mapa final'!$Q$44),"")</f>
        <v/>
      </c>
      <c r="AF31" s="58" t="str">
        <f>IF(AND('Mapa final'!$AA$45="Media",'Mapa final'!$AC$45="Mayor"),CONCATENATE("R6C",'Mapa final'!$Q$45),"")</f>
        <v/>
      </c>
      <c r="AG31" s="54" t="str">
        <f>IF(AND('Mapa final'!$AA$46="Media",'Mapa final'!$AC$46="Mayor"),CONCATENATE("R6C",'Mapa final'!$Q$46),"")</f>
        <v/>
      </c>
      <c r="AH31" s="55" t="str">
        <f>IF(AND('Mapa final'!$AA$41="Media",'Mapa final'!$AC$41="Catastrófico"),CONCATENATE("R6C",'Mapa final'!$Q$41),"")</f>
        <v/>
      </c>
      <c r="AI31" s="56" t="str">
        <f>IF(AND('Mapa final'!$AA$42="Media",'Mapa final'!$AC$42="Catastrófico"),CONCATENATE("R6C",'Mapa final'!$Q$42),"")</f>
        <v/>
      </c>
      <c r="AJ31" s="56" t="str">
        <f>IF(AND('Mapa final'!$AA$43="Media",'Mapa final'!$AC$43="Catastrófico"),CONCATENATE("R6C",'Mapa final'!$Q$43),"")</f>
        <v/>
      </c>
      <c r="AK31" s="56" t="str">
        <f>IF(AND('Mapa final'!$AA$44="Media",'Mapa final'!$AC$44="Catastrófico"),CONCATENATE("R6C",'Mapa final'!$Q$44),"")</f>
        <v/>
      </c>
      <c r="AL31" s="56" t="str">
        <f>IF(AND('Mapa final'!$AA$45="Media",'Mapa final'!$AC$45="Catastrófico"),CONCATENATE("R6C",'Mapa final'!$Q$45),"")</f>
        <v/>
      </c>
      <c r="AM31" s="57" t="str">
        <f>IF(AND('Mapa final'!$AA$46="Media",'Mapa final'!$AC$46="Catastrófico"),CONCATENATE("R6C",'Mapa final'!$Q$46),"")</f>
        <v/>
      </c>
      <c r="AN31" s="84"/>
      <c r="AO31" s="395"/>
      <c r="AP31" s="396"/>
      <c r="AQ31" s="396"/>
      <c r="AR31" s="396"/>
      <c r="AS31" s="396"/>
      <c r="AT31" s="397"/>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3">
      <c r="A32" s="84"/>
      <c r="B32" s="313"/>
      <c r="C32" s="313"/>
      <c r="D32" s="314"/>
      <c r="E32" s="354"/>
      <c r="F32" s="355"/>
      <c r="G32" s="355"/>
      <c r="H32" s="355"/>
      <c r="I32" s="356"/>
      <c r="J32" s="68" t="str">
        <f>IF(AND('Mapa final'!$AA$47="Media",'Mapa final'!$AC$47="Leve"),CONCATENATE("R7C",'Mapa final'!$Q$47),"")</f>
        <v/>
      </c>
      <c r="K32" s="69" t="str">
        <f>IF(AND('Mapa final'!$AA$48="Media",'Mapa final'!$AC$48="Leve"),CONCATENATE("R7C",'Mapa final'!$Q$48),"")</f>
        <v/>
      </c>
      <c r="L32" s="69" t="str">
        <f>IF(AND('Mapa final'!$AA$49="Media",'Mapa final'!$AC$49="Leve"),CONCATENATE("R7C",'Mapa final'!$Q$49),"")</f>
        <v/>
      </c>
      <c r="M32" s="69" t="str">
        <f>IF(AND('Mapa final'!$AA$50="Media",'Mapa final'!$AC$50="Leve"),CONCATENATE("R7C",'Mapa final'!$Q$50),"")</f>
        <v/>
      </c>
      <c r="N32" s="69" t="str">
        <f>IF(AND('Mapa final'!$AA$51="Media",'Mapa final'!$AC$51="Leve"),CONCATENATE("R7C",'Mapa final'!$Q$51),"")</f>
        <v/>
      </c>
      <c r="O32" s="70" t="str">
        <f>IF(AND('Mapa final'!$AA$52="Media",'Mapa final'!$AC$52="Leve"),CONCATENATE("R7C",'Mapa final'!$Q$52),"")</f>
        <v/>
      </c>
      <c r="P32" s="68" t="str">
        <f>IF(AND('Mapa final'!$AA$47="Media",'Mapa final'!$AC$47="Menor"),CONCATENATE("R7C",'Mapa final'!$Q$47),"")</f>
        <v/>
      </c>
      <c r="Q32" s="69" t="str">
        <f>IF(AND('Mapa final'!$AA$48="Media",'Mapa final'!$AC$48="Menor"),CONCATENATE("R7C",'Mapa final'!$Q$48),"")</f>
        <v/>
      </c>
      <c r="R32" s="69" t="str">
        <f>IF(AND('Mapa final'!$AA$49="Media",'Mapa final'!$AC$49="Menor"),CONCATENATE("R7C",'Mapa final'!$Q$49),"")</f>
        <v/>
      </c>
      <c r="S32" s="69" t="str">
        <f>IF(AND('Mapa final'!$AA$50="Media",'Mapa final'!$AC$50="Menor"),CONCATENATE("R7C",'Mapa final'!$Q$50),"")</f>
        <v/>
      </c>
      <c r="T32" s="69" t="str">
        <f>IF(AND('Mapa final'!$AA$51="Media",'Mapa final'!$AC$51="Menor"),CONCATENATE("R7C",'Mapa final'!$Q$51),"")</f>
        <v/>
      </c>
      <c r="U32" s="70" t="str">
        <f>IF(AND('Mapa final'!$AA$52="Media",'Mapa final'!$AC$52="Menor"),CONCATENATE("R7C",'Mapa final'!$Q$52),"")</f>
        <v/>
      </c>
      <c r="V32" s="68" t="str">
        <f>IF(AND('Mapa final'!$AA$47="Media",'Mapa final'!$AC$47="Moderado"),CONCATENATE("R7C",'Mapa final'!$Q$47),"")</f>
        <v/>
      </c>
      <c r="W32" s="69" t="str">
        <f>IF(AND('Mapa final'!$AA$48="Media",'Mapa final'!$AC$48="Moderado"),CONCATENATE("R7C",'Mapa final'!$Q$48),"")</f>
        <v/>
      </c>
      <c r="X32" s="69" t="str">
        <f>IF(AND('Mapa final'!$AA$49="Media",'Mapa final'!$AC$49="Moderado"),CONCATENATE("R7C",'Mapa final'!$Q$49),"")</f>
        <v/>
      </c>
      <c r="Y32" s="69" t="str">
        <f>IF(AND('Mapa final'!$AA$50="Media",'Mapa final'!$AC$50="Moderado"),CONCATENATE("R7C",'Mapa final'!$Q$50),"")</f>
        <v/>
      </c>
      <c r="Z32" s="69" t="str">
        <f>IF(AND('Mapa final'!$AA$51="Media",'Mapa final'!$AC$51="Moderado"),CONCATENATE("R7C",'Mapa final'!$Q$51),"")</f>
        <v/>
      </c>
      <c r="AA32" s="70" t="str">
        <f>IF(AND('Mapa final'!$AA$52="Media",'Mapa final'!$AC$52="Moderado"),CONCATENATE("R7C",'Mapa final'!$Q$52),"")</f>
        <v/>
      </c>
      <c r="AB32" s="52" t="str">
        <f>IF(AND('Mapa final'!$AA$47="Media",'Mapa final'!$AC$47="Mayor"),CONCATENATE("R7C",'Mapa final'!$Q$47),"")</f>
        <v/>
      </c>
      <c r="AC32" s="53" t="str">
        <f>IF(AND('Mapa final'!$AA$48="Media",'Mapa final'!$AC$48="Mayor"),CONCATENATE("R7C",'Mapa final'!$Q$48),"")</f>
        <v/>
      </c>
      <c r="AD32" s="58" t="str">
        <f>IF(AND('Mapa final'!$AA$49="Media",'Mapa final'!$AC$49="Mayor"),CONCATENATE("R7C",'Mapa final'!$Q$49),"")</f>
        <v/>
      </c>
      <c r="AE32" s="58" t="str">
        <f>IF(AND('Mapa final'!$AA$50="Media",'Mapa final'!$AC$50="Mayor"),CONCATENATE("R7C",'Mapa final'!$Q$50),"")</f>
        <v/>
      </c>
      <c r="AF32" s="58" t="str">
        <f>IF(AND('Mapa final'!$AA$51="Media",'Mapa final'!$AC$51="Mayor"),CONCATENATE("R7C",'Mapa final'!$Q$51),"")</f>
        <v/>
      </c>
      <c r="AG32" s="54" t="str">
        <f>IF(AND('Mapa final'!$AA$52="Media",'Mapa final'!$AC$52="Mayor"),CONCATENATE("R7C",'Mapa final'!$Q$52),"")</f>
        <v/>
      </c>
      <c r="AH32" s="55" t="str">
        <f>IF(AND('Mapa final'!$AA$47="Media",'Mapa final'!$AC$47="Catastrófico"),CONCATENATE("R7C",'Mapa final'!$Q$47),"")</f>
        <v/>
      </c>
      <c r="AI32" s="56" t="str">
        <f>IF(AND('Mapa final'!$AA$48="Media",'Mapa final'!$AC$48="Catastrófico"),CONCATENATE("R7C",'Mapa final'!$Q$48),"")</f>
        <v/>
      </c>
      <c r="AJ32" s="56" t="str">
        <f>IF(AND('Mapa final'!$AA$49="Media",'Mapa final'!$AC$49="Catastrófico"),CONCATENATE("R7C",'Mapa final'!$Q$49),"")</f>
        <v/>
      </c>
      <c r="AK32" s="56" t="str">
        <f>IF(AND('Mapa final'!$AA$50="Media",'Mapa final'!$AC$50="Catastrófico"),CONCATENATE("R7C",'Mapa final'!$Q$50),"")</f>
        <v/>
      </c>
      <c r="AL32" s="56" t="str">
        <f>IF(AND('Mapa final'!$AA$51="Media",'Mapa final'!$AC$51="Catastrófico"),CONCATENATE("R7C",'Mapa final'!$Q$51),"")</f>
        <v/>
      </c>
      <c r="AM32" s="57" t="str">
        <f>IF(AND('Mapa final'!$AA$52="Media",'Mapa final'!$AC$52="Catastrófico"),CONCATENATE("R7C",'Mapa final'!$Q$52),"")</f>
        <v/>
      </c>
      <c r="AN32" s="84"/>
      <c r="AO32" s="395"/>
      <c r="AP32" s="396"/>
      <c r="AQ32" s="396"/>
      <c r="AR32" s="396"/>
      <c r="AS32" s="396"/>
      <c r="AT32" s="397"/>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3">
      <c r="A33" s="84"/>
      <c r="B33" s="313"/>
      <c r="C33" s="313"/>
      <c r="D33" s="314"/>
      <c r="E33" s="354"/>
      <c r="F33" s="355"/>
      <c r="G33" s="355"/>
      <c r="H33" s="355"/>
      <c r="I33" s="356"/>
      <c r="J33" s="68" t="str">
        <f>IF(AND('Mapa final'!$AA$53="Media",'Mapa final'!$AC$53="Leve"),CONCATENATE("R8C",'Mapa final'!$Q$53),"")</f>
        <v/>
      </c>
      <c r="K33" s="69" t="str">
        <f>IF(AND('Mapa final'!$AA$54="Media",'Mapa final'!$AC$54="Leve"),CONCATENATE("R8C",'Mapa final'!$Q$54),"")</f>
        <v/>
      </c>
      <c r="L33" s="69" t="str">
        <f>IF(AND('Mapa final'!$AA$55="Media",'Mapa final'!$AC$55="Leve"),CONCATENATE("R8C",'Mapa final'!$Q$55),"")</f>
        <v/>
      </c>
      <c r="M33" s="69" t="str">
        <f>IF(AND('Mapa final'!$AA$56="Media",'Mapa final'!$AC$56="Leve"),CONCATENATE("R8C",'Mapa final'!$Q$56),"")</f>
        <v/>
      </c>
      <c r="N33" s="69" t="str">
        <f>IF(AND('Mapa final'!$AA$57="Media",'Mapa final'!$AC$57="Leve"),CONCATENATE("R8C",'Mapa final'!$Q$57),"")</f>
        <v/>
      </c>
      <c r="O33" s="70" t="str">
        <f>IF(AND('Mapa final'!$AA$58="Media",'Mapa final'!$AC$58="Leve"),CONCATENATE("R8C",'Mapa final'!$Q$58),"")</f>
        <v/>
      </c>
      <c r="P33" s="68" t="str">
        <f>IF(AND('Mapa final'!$AA$53="Media",'Mapa final'!$AC$53="Menor"),CONCATENATE("R8C",'Mapa final'!$Q$53),"")</f>
        <v/>
      </c>
      <c r="Q33" s="69" t="str">
        <f>IF(AND('Mapa final'!$AA$54="Media",'Mapa final'!$AC$54="Menor"),CONCATENATE("R8C",'Mapa final'!$Q$54),"")</f>
        <v/>
      </c>
      <c r="R33" s="69" t="str">
        <f>IF(AND('Mapa final'!$AA$55="Media",'Mapa final'!$AC$55="Menor"),CONCATENATE("R8C",'Mapa final'!$Q$55),"")</f>
        <v/>
      </c>
      <c r="S33" s="69" t="str">
        <f>IF(AND('Mapa final'!$AA$56="Media",'Mapa final'!$AC$56="Menor"),CONCATENATE("R8C",'Mapa final'!$Q$56),"")</f>
        <v/>
      </c>
      <c r="T33" s="69" t="str">
        <f>IF(AND('Mapa final'!$AA$57="Media",'Mapa final'!$AC$57="Menor"),CONCATENATE("R8C",'Mapa final'!$Q$57),"")</f>
        <v/>
      </c>
      <c r="U33" s="70" t="str">
        <f>IF(AND('Mapa final'!$AA$58="Media",'Mapa final'!$AC$58="Menor"),CONCATENATE("R8C",'Mapa final'!$Q$58),"")</f>
        <v/>
      </c>
      <c r="V33" s="68" t="str">
        <f>IF(AND('Mapa final'!$AA$53="Media",'Mapa final'!$AC$53="Moderado"),CONCATENATE("R8C",'Mapa final'!$Q$53),"")</f>
        <v/>
      </c>
      <c r="W33" s="69" t="str">
        <f>IF(AND('Mapa final'!$AA$54="Media",'Mapa final'!$AC$54="Moderado"),CONCATENATE("R8C",'Mapa final'!$Q$54),"")</f>
        <v/>
      </c>
      <c r="X33" s="69" t="str">
        <f>IF(AND('Mapa final'!$AA$55="Media",'Mapa final'!$AC$55="Moderado"),CONCATENATE("R8C",'Mapa final'!$Q$55),"")</f>
        <v/>
      </c>
      <c r="Y33" s="69" t="str">
        <f>IF(AND('Mapa final'!$AA$56="Media",'Mapa final'!$AC$56="Moderado"),CONCATENATE("R8C",'Mapa final'!$Q$56),"")</f>
        <v/>
      </c>
      <c r="Z33" s="69" t="str">
        <f>IF(AND('Mapa final'!$AA$57="Media",'Mapa final'!$AC$57="Moderado"),CONCATENATE("R8C",'Mapa final'!$Q$57),"")</f>
        <v/>
      </c>
      <c r="AA33" s="70" t="str">
        <f>IF(AND('Mapa final'!$AA$58="Media",'Mapa final'!$AC$58="Moderado"),CONCATENATE("R8C",'Mapa final'!$Q$58),"")</f>
        <v/>
      </c>
      <c r="AB33" s="52" t="str">
        <f>IF(AND('Mapa final'!$AA$53="Media",'Mapa final'!$AC$53="Mayor"),CONCATENATE("R8C",'Mapa final'!$Q$53),"")</f>
        <v/>
      </c>
      <c r="AC33" s="53" t="str">
        <f>IF(AND('Mapa final'!$AA$54="Media",'Mapa final'!$AC$54="Mayor"),CONCATENATE("R8C",'Mapa final'!$Q$54),"")</f>
        <v/>
      </c>
      <c r="AD33" s="58" t="str">
        <f>IF(AND('Mapa final'!$AA$55="Media",'Mapa final'!$AC$55="Mayor"),CONCATENATE("R8C",'Mapa final'!$Q$55),"")</f>
        <v/>
      </c>
      <c r="AE33" s="58" t="str">
        <f>IF(AND('Mapa final'!$AA$56="Media",'Mapa final'!$AC$56="Mayor"),CONCATENATE("R8C",'Mapa final'!$Q$56),"")</f>
        <v/>
      </c>
      <c r="AF33" s="58" t="str">
        <f>IF(AND('Mapa final'!$AA$57="Media",'Mapa final'!$AC$57="Mayor"),CONCATENATE("R8C",'Mapa final'!$Q$57),"")</f>
        <v/>
      </c>
      <c r="AG33" s="54" t="str">
        <f>IF(AND('Mapa final'!$AA$58="Media",'Mapa final'!$AC$58="Mayor"),CONCATENATE("R8C",'Mapa final'!$Q$58),"")</f>
        <v/>
      </c>
      <c r="AH33" s="55" t="str">
        <f>IF(AND('Mapa final'!$AA$53="Media",'Mapa final'!$AC$53="Catastrófico"),CONCATENATE("R8C",'Mapa final'!$Q$53),"")</f>
        <v/>
      </c>
      <c r="AI33" s="56" t="str">
        <f>IF(AND('Mapa final'!$AA$54="Media",'Mapa final'!$AC$54="Catastrófico"),CONCATENATE("R8C",'Mapa final'!$Q$54),"")</f>
        <v/>
      </c>
      <c r="AJ33" s="56" t="str">
        <f>IF(AND('Mapa final'!$AA$55="Media",'Mapa final'!$AC$55="Catastrófico"),CONCATENATE("R8C",'Mapa final'!$Q$55),"")</f>
        <v/>
      </c>
      <c r="AK33" s="56" t="str">
        <f>IF(AND('Mapa final'!$AA$56="Media",'Mapa final'!$AC$56="Catastrófico"),CONCATENATE("R8C",'Mapa final'!$Q$56),"")</f>
        <v/>
      </c>
      <c r="AL33" s="56" t="str">
        <f>IF(AND('Mapa final'!$AA$57="Media",'Mapa final'!$AC$57="Catastrófico"),CONCATENATE("R8C",'Mapa final'!$Q$57),"")</f>
        <v/>
      </c>
      <c r="AM33" s="57" t="str">
        <f>IF(AND('Mapa final'!$AA$58="Media",'Mapa final'!$AC$58="Catastrófico"),CONCATENATE("R8C",'Mapa final'!$Q$58),"")</f>
        <v/>
      </c>
      <c r="AN33" s="84"/>
      <c r="AO33" s="395"/>
      <c r="AP33" s="396"/>
      <c r="AQ33" s="396"/>
      <c r="AR33" s="396"/>
      <c r="AS33" s="396"/>
      <c r="AT33" s="397"/>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3">
      <c r="A34" s="84"/>
      <c r="B34" s="313"/>
      <c r="C34" s="313"/>
      <c r="D34" s="314"/>
      <c r="E34" s="354"/>
      <c r="F34" s="355"/>
      <c r="G34" s="355"/>
      <c r="H34" s="355"/>
      <c r="I34" s="356"/>
      <c r="J34" s="68" t="str">
        <f>IF(AND('Mapa final'!$AA$59="Media",'Mapa final'!$AC$59="Leve"),CONCATENATE("R9C",'Mapa final'!$Q$59),"")</f>
        <v/>
      </c>
      <c r="K34" s="69" t="str">
        <f>IF(AND('Mapa final'!$AA$60="Media",'Mapa final'!$AC$60="Leve"),CONCATENATE("R9C",'Mapa final'!$Q$60),"")</f>
        <v/>
      </c>
      <c r="L34" s="69" t="str">
        <f>IF(AND('Mapa final'!$AA$61="Media",'Mapa final'!$AC$61="Leve"),CONCATENATE("R9C",'Mapa final'!$Q$61),"")</f>
        <v/>
      </c>
      <c r="M34" s="69" t="str">
        <f>IF(AND('Mapa final'!$AA$62="Media",'Mapa final'!$AC$62="Leve"),CONCATENATE("R9C",'Mapa final'!$Q$62),"")</f>
        <v/>
      </c>
      <c r="N34" s="69" t="str">
        <f>IF(AND('Mapa final'!$AA$63="Media",'Mapa final'!$AC$63="Leve"),CONCATENATE("R9C",'Mapa final'!$Q$63),"")</f>
        <v/>
      </c>
      <c r="O34" s="70" t="str">
        <f>IF(AND('Mapa final'!$AA$64="Media",'Mapa final'!$AC$64="Leve"),CONCATENATE("R9C",'Mapa final'!$Q$64),"")</f>
        <v/>
      </c>
      <c r="P34" s="68" t="str">
        <f>IF(AND('Mapa final'!$AA$59="Media",'Mapa final'!$AC$59="Menor"),CONCATENATE("R9C",'Mapa final'!$Q$59),"")</f>
        <v/>
      </c>
      <c r="Q34" s="69" t="str">
        <f>IF(AND('Mapa final'!$AA$60="Media",'Mapa final'!$AC$60="Menor"),CONCATENATE("R9C",'Mapa final'!$Q$60),"")</f>
        <v/>
      </c>
      <c r="R34" s="69" t="str">
        <f>IF(AND('Mapa final'!$AA$61="Media",'Mapa final'!$AC$61="Menor"),CONCATENATE("R9C",'Mapa final'!$Q$61),"")</f>
        <v/>
      </c>
      <c r="S34" s="69" t="str">
        <f>IF(AND('Mapa final'!$AA$62="Media",'Mapa final'!$AC$62="Menor"),CONCATENATE("R9C",'Mapa final'!$Q$62),"")</f>
        <v/>
      </c>
      <c r="T34" s="69" t="str">
        <f>IF(AND('Mapa final'!$AA$63="Media",'Mapa final'!$AC$63="Menor"),CONCATENATE("R9C",'Mapa final'!$Q$63),"")</f>
        <v/>
      </c>
      <c r="U34" s="70" t="str">
        <f>IF(AND('Mapa final'!$AA$64="Media",'Mapa final'!$AC$64="Menor"),CONCATENATE("R9C",'Mapa final'!$Q$64),"")</f>
        <v/>
      </c>
      <c r="V34" s="68" t="str">
        <f>IF(AND('Mapa final'!$AA$59="Media",'Mapa final'!$AC$59="Moderado"),CONCATENATE("R9C",'Mapa final'!$Q$59),"")</f>
        <v/>
      </c>
      <c r="W34" s="69" t="str">
        <f>IF(AND('Mapa final'!$AA$60="Media",'Mapa final'!$AC$60="Moderado"),CONCATENATE("R9C",'Mapa final'!$Q$60),"")</f>
        <v/>
      </c>
      <c r="X34" s="69" t="str">
        <f>IF(AND('Mapa final'!$AA$61="Media",'Mapa final'!$AC$61="Moderado"),CONCATENATE("R9C",'Mapa final'!$Q$61),"")</f>
        <v/>
      </c>
      <c r="Y34" s="69" t="str">
        <f>IF(AND('Mapa final'!$AA$62="Media",'Mapa final'!$AC$62="Moderado"),CONCATENATE("R9C",'Mapa final'!$Q$62),"")</f>
        <v/>
      </c>
      <c r="Z34" s="69" t="str">
        <f>IF(AND('Mapa final'!$AA$63="Media",'Mapa final'!$AC$63="Moderado"),CONCATENATE("R9C",'Mapa final'!$Q$63),"")</f>
        <v/>
      </c>
      <c r="AA34" s="70" t="str">
        <f>IF(AND('Mapa final'!$AA$64="Media",'Mapa final'!$AC$64="Moderado"),CONCATENATE("R9C",'Mapa final'!$Q$64),"")</f>
        <v/>
      </c>
      <c r="AB34" s="52" t="str">
        <f>IF(AND('Mapa final'!$AA$59="Media",'Mapa final'!$AC$59="Mayor"),CONCATENATE("R9C",'Mapa final'!$Q$59),"")</f>
        <v/>
      </c>
      <c r="AC34" s="53" t="str">
        <f>IF(AND('Mapa final'!$AA$60="Media",'Mapa final'!$AC$60="Mayor"),CONCATENATE("R9C",'Mapa final'!$Q$60),"")</f>
        <v/>
      </c>
      <c r="AD34" s="58" t="str">
        <f>IF(AND('Mapa final'!$AA$61="Media",'Mapa final'!$AC$61="Mayor"),CONCATENATE("R9C",'Mapa final'!$Q$61),"")</f>
        <v/>
      </c>
      <c r="AE34" s="58" t="str">
        <f>IF(AND('Mapa final'!$AA$62="Media",'Mapa final'!$AC$62="Mayor"),CONCATENATE("R9C",'Mapa final'!$Q$62),"")</f>
        <v/>
      </c>
      <c r="AF34" s="58" t="str">
        <f>IF(AND('Mapa final'!$AA$63="Media",'Mapa final'!$AC$63="Mayor"),CONCATENATE("R9C",'Mapa final'!$Q$63),"")</f>
        <v/>
      </c>
      <c r="AG34" s="54" t="str">
        <f>IF(AND('Mapa final'!$AA$64="Media",'Mapa final'!$AC$64="Mayor"),CONCATENATE("R9C",'Mapa final'!$Q$64),"")</f>
        <v/>
      </c>
      <c r="AH34" s="55" t="str">
        <f>IF(AND('Mapa final'!$AA$59="Media",'Mapa final'!$AC$59="Catastrófico"),CONCATENATE("R9C",'Mapa final'!$Q$59),"")</f>
        <v/>
      </c>
      <c r="AI34" s="56" t="str">
        <f>IF(AND('Mapa final'!$AA$60="Media",'Mapa final'!$AC$60="Catastrófico"),CONCATENATE("R9C",'Mapa final'!$Q$60),"")</f>
        <v/>
      </c>
      <c r="AJ34" s="56" t="str">
        <f>IF(AND('Mapa final'!$AA$61="Media",'Mapa final'!$AC$61="Catastrófico"),CONCATENATE("R9C",'Mapa final'!$Q$61),"")</f>
        <v/>
      </c>
      <c r="AK34" s="56" t="str">
        <f>IF(AND('Mapa final'!$AA$62="Media",'Mapa final'!$AC$62="Catastrófico"),CONCATENATE("R9C",'Mapa final'!$Q$62),"")</f>
        <v/>
      </c>
      <c r="AL34" s="56" t="str">
        <f>IF(AND('Mapa final'!$AA$63="Media",'Mapa final'!$AC$63="Catastrófico"),CONCATENATE("R9C",'Mapa final'!$Q$63),"")</f>
        <v/>
      </c>
      <c r="AM34" s="57" t="str">
        <f>IF(AND('Mapa final'!$AA$64="Media",'Mapa final'!$AC$64="Catastrófico"),CONCATENATE("R9C",'Mapa final'!$Q$64),"")</f>
        <v/>
      </c>
      <c r="AN34" s="84"/>
      <c r="AO34" s="395"/>
      <c r="AP34" s="396"/>
      <c r="AQ34" s="396"/>
      <c r="AR34" s="396"/>
      <c r="AS34" s="396"/>
      <c r="AT34" s="397"/>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5">
      <c r="A35" s="84"/>
      <c r="B35" s="313"/>
      <c r="C35" s="313"/>
      <c r="D35" s="314"/>
      <c r="E35" s="357"/>
      <c r="F35" s="358"/>
      <c r="G35" s="358"/>
      <c r="H35" s="358"/>
      <c r="I35" s="359"/>
      <c r="J35" s="68" t="str">
        <f>IF(AND('Mapa final'!$AA$65="Media",'Mapa final'!$AC$65="Leve"),CONCATENATE("R10C",'Mapa final'!$Q$65),"")</f>
        <v/>
      </c>
      <c r="K35" s="69" t="str">
        <f>IF(AND('Mapa final'!$AA$66="Media",'Mapa final'!$AC$66="Leve"),CONCATENATE("R10C",'Mapa final'!$Q$66),"")</f>
        <v/>
      </c>
      <c r="L35" s="69" t="str">
        <f>IF(AND('Mapa final'!$AA$67="Media",'Mapa final'!$AC$67="Leve"),CONCATENATE("R10C",'Mapa final'!$Q$67),"")</f>
        <v/>
      </c>
      <c r="M35" s="69" t="str">
        <f>IF(AND('Mapa final'!$AA$68="Media",'Mapa final'!$AC$68="Leve"),CONCATENATE("R10C",'Mapa final'!$Q$68),"")</f>
        <v/>
      </c>
      <c r="N35" s="69" t="str">
        <f>IF(AND('Mapa final'!$AA$69="Media",'Mapa final'!$AC$69="Leve"),CONCATENATE("R10C",'Mapa final'!$Q$69),"")</f>
        <v/>
      </c>
      <c r="O35" s="70" t="str">
        <f>IF(AND('Mapa final'!$AA$70="Media",'Mapa final'!$AC$70="Leve"),CONCATENATE("R10C",'Mapa final'!$Q$70),"")</f>
        <v/>
      </c>
      <c r="P35" s="68" t="str">
        <f>IF(AND('Mapa final'!$AA$65="Media",'Mapa final'!$AC$65="Menor"),CONCATENATE("R10C",'Mapa final'!$Q$65),"")</f>
        <v/>
      </c>
      <c r="Q35" s="69" t="str">
        <f>IF(AND('Mapa final'!$AA$66="Media",'Mapa final'!$AC$66="Menor"),CONCATENATE("R10C",'Mapa final'!$Q$66),"")</f>
        <v/>
      </c>
      <c r="R35" s="69" t="str">
        <f>IF(AND('Mapa final'!$AA$67="Media",'Mapa final'!$AC$67="Menor"),CONCATENATE("R10C",'Mapa final'!$Q$67),"")</f>
        <v/>
      </c>
      <c r="S35" s="69" t="str">
        <f>IF(AND('Mapa final'!$AA$68="Media",'Mapa final'!$AC$68="Menor"),CONCATENATE("R10C",'Mapa final'!$Q$68),"")</f>
        <v/>
      </c>
      <c r="T35" s="69" t="str">
        <f>IF(AND('Mapa final'!$AA$69="Media",'Mapa final'!$AC$69="Menor"),CONCATENATE("R10C",'Mapa final'!$Q$69),"")</f>
        <v/>
      </c>
      <c r="U35" s="70" t="str">
        <f>IF(AND('Mapa final'!$AA$70="Media",'Mapa final'!$AC$70="Menor"),CONCATENATE("R10C",'Mapa final'!$Q$70),"")</f>
        <v/>
      </c>
      <c r="V35" s="68" t="str">
        <f>IF(AND('Mapa final'!$AA$65="Media",'Mapa final'!$AC$65="Moderado"),CONCATENATE("R10C",'Mapa final'!$Q$65),"")</f>
        <v/>
      </c>
      <c r="W35" s="69" t="str">
        <f>IF(AND('Mapa final'!$AA$66="Media",'Mapa final'!$AC$66="Moderado"),CONCATENATE("R10C",'Mapa final'!$Q$66),"")</f>
        <v/>
      </c>
      <c r="X35" s="69" t="str">
        <f>IF(AND('Mapa final'!$AA$67="Media",'Mapa final'!$AC$67="Moderado"),CONCATENATE("R10C",'Mapa final'!$Q$67),"")</f>
        <v/>
      </c>
      <c r="Y35" s="69" t="str">
        <f>IF(AND('Mapa final'!$AA$68="Media",'Mapa final'!$AC$68="Moderado"),CONCATENATE("R10C",'Mapa final'!$Q$68),"")</f>
        <v/>
      </c>
      <c r="Z35" s="69" t="str">
        <f>IF(AND('Mapa final'!$AA$69="Media",'Mapa final'!$AC$69="Moderado"),CONCATENATE("R10C",'Mapa final'!$Q$69),"")</f>
        <v/>
      </c>
      <c r="AA35" s="70" t="str">
        <f>IF(AND('Mapa final'!$AA$70="Media",'Mapa final'!$AC$70="Moderado"),CONCATENATE("R10C",'Mapa final'!$Q$70),"")</f>
        <v/>
      </c>
      <c r="AB35" s="59" t="str">
        <f>IF(AND('Mapa final'!$AA$65="Media",'Mapa final'!$AC$65="Mayor"),CONCATENATE("R10C",'Mapa final'!$Q$65),"")</f>
        <v/>
      </c>
      <c r="AC35" s="60" t="str">
        <f>IF(AND('Mapa final'!$AA$66="Media",'Mapa final'!$AC$66="Mayor"),CONCATENATE("R10C",'Mapa final'!$Q$66),"")</f>
        <v/>
      </c>
      <c r="AD35" s="60" t="str">
        <f>IF(AND('Mapa final'!$AA$67="Media",'Mapa final'!$AC$67="Mayor"),CONCATENATE("R10C",'Mapa final'!$Q$67),"")</f>
        <v/>
      </c>
      <c r="AE35" s="60" t="str">
        <f>IF(AND('Mapa final'!$AA$68="Media",'Mapa final'!$AC$68="Mayor"),CONCATENATE("R10C",'Mapa final'!$Q$68),"")</f>
        <v/>
      </c>
      <c r="AF35" s="60" t="str">
        <f>IF(AND('Mapa final'!$AA$69="Media",'Mapa final'!$AC$69="Mayor"),CONCATENATE("R10C",'Mapa final'!$Q$69),"")</f>
        <v/>
      </c>
      <c r="AG35" s="61" t="str">
        <f>IF(AND('Mapa final'!$AA$70="Media",'Mapa final'!$AC$70="Mayor"),CONCATENATE("R10C",'Mapa final'!$Q$70),"")</f>
        <v/>
      </c>
      <c r="AH35" s="62" t="str">
        <f>IF(AND('Mapa final'!$AA$65="Media",'Mapa final'!$AC$65="Catastrófico"),CONCATENATE("R10C",'Mapa final'!$Q$65),"")</f>
        <v/>
      </c>
      <c r="AI35" s="63" t="str">
        <f>IF(AND('Mapa final'!$AA$66="Media",'Mapa final'!$AC$66="Catastrófico"),CONCATENATE("R10C",'Mapa final'!$Q$66),"")</f>
        <v/>
      </c>
      <c r="AJ35" s="63" t="str">
        <f>IF(AND('Mapa final'!$AA$67="Media",'Mapa final'!$AC$67="Catastrófico"),CONCATENATE("R10C",'Mapa final'!$Q$67),"")</f>
        <v/>
      </c>
      <c r="AK35" s="63" t="str">
        <f>IF(AND('Mapa final'!$AA$68="Media",'Mapa final'!$AC$68="Catastrófico"),CONCATENATE("R10C",'Mapa final'!$Q$68),"")</f>
        <v/>
      </c>
      <c r="AL35" s="63" t="str">
        <f>IF(AND('Mapa final'!$AA$69="Media",'Mapa final'!$AC$69="Catastrófico"),CONCATENATE("R10C",'Mapa final'!$Q$69),"")</f>
        <v/>
      </c>
      <c r="AM35" s="64" t="str">
        <f>IF(AND('Mapa final'!$AA$70="Media",'Mapa final'!$AC$70="Catastrófico"),CONCATENATE("R10C",'Mapa final'!$Q$70),"")</f>
        <v/>
      </c>
      <c r="AN35" s="84"/>
      <c r="AO35" s="398"/>
      <c r="AP35" s="399"/>
      <c r="AQ35" s="399"/>
      <c r="AR35" s="399"/>
      <c r="AS35" s="399"/>
      <c r="AT35" s="400"/>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3">
      <c r="A36" s="84"/>
      <c r="B36" s="313"/>
      <c r="C36" s="313"/>
      <c r="D36" s="314"/>
      <c r="E36" s="351" t="s">
        <v>106</v>
      </c>
      <c r="F36" s="352"/>
      <c r="G36" s="352"/>
      <c r="H36" s="352"/>
      <c r="I36" s="352"/>
      <c r="J36" s="74" t="str">
        <f>IF(AND('Mapa final'!$AA$11="Baja",'Mapa final'!$AC$11="Leve"),CONCATENATE("R1C",'Mapa final'!$Q$11),"")</f>
        <v/>
      </c>
      <c r="K36" s="75" t="str">
        <f>IF(AND('Mapa final'!$AA$12="Baja",'Mapa final'!$AC$12="Leve"),CONCATENATE("R1C",'Mapa final'!$Q$12),"")</f>
        <v/>
      </c>
      <c r="L36" s="75" t="str">
        <f>IF(AND('Mapa final'!$AA$13="Baja",'Mapa final'!$AC$13="Leve"),CONCATENATE("R1C",'Mapa final'!$Q$13),"")</f>
        <v/>
      </c>
      <c r="M36" s="75" t="str">
        <f>IF(AND('Mapa final'!$AA$14="Baja",'Mapa final'!$AC$14="Leve"),CONCATENATE("R1C",'Mapa final'!$Q$14),"")</f>
        <v/>
      </c>
      <c r="N36" s="75" t="str">
        <f>IF(AND('Mapa final'!$AA$15="Baja",'Mapa final'!$AC$15="Leve"),CONCATENATE("R1C",'Mapa final'!$Q$15),"")</f>
        <v/>
      </c>
      <c r="O36" s="76" t="str">
        <f>IF(AND('Mapa final'!$AA$16="Baja",'Mapa final'!$AC$16="Leve"),CONCATENATE("R1C",'Mapa final'!$Q$16),"")</f>
        <v/>
      </c>
      <c r="P36" s="65" t="str">
        <f>IF(AND('Mapa final'!$AA$11="Baja",'Mapa final'!$AC$11="Menor"),CONCATENATE("R1C",'Mapa final'!$Q$11),"")</f>
        <v/>
      </c>
      <c r="Q36" s="66" t="str">
        <f>IF(AND('Mapa final'!$AA$12="Baja",'Mapa final'!$AC$12="Menor"),CONCATENATE("R1C",'Mapa final'!$Q$12),"")</f>
        <v/>
      </c>
      <c r="R36" s="66" t="str">
        <f>IF(AND('Mapa final'!$AA$13="Baja",'Mapa final'!$AC$13="Menor"),CONCATENATE("R1C",'Mapa final'!$Q$13),"")</f>
        <v/>
      </c>
      <c r="S36" s="66" t="str">
        <f>IF(AND('Mapa final'!$AA$14="Baja",'Mapa final'!$AC$14="Menor"),CONCATENATE("R1C",'Mapa final'!$Q$14),"")</f>
        <v/>
      </c>
      <c r="T36" s="66" t="str">
        <f>IF(AND('Mapa final'!$AA$15="Baja",'Mapa final'!$AC$15="Menor"),CONCATENATE("R1C",'Mapa final'!$Q$15),"")</f>
        <v/>
      </c>
      <c r="U36" s="67" t="str">
        <f>IF(AND('Mapa final'!$AA$16="Baja",'Mapa final'!$AC$16="Menor"),CONCATENATE("R1C",'Mapa final'!$Q$16),"")</f>
        <v/>
      </c>
      <c r="V36" s="65" t="str">
        <f>IF(AND('Mapa final'!$AA$11="Baja",'Mapa final'!$AC$11="Moderado"),CONCATENATE("R1C",'Mapa final'!$Q$11),"")</f>
        <v/>
      </c>
      <c r="W36" s="66" t="str">
        <f>IF(AND('Mapa final'!$AA$12="Baja",'Mapa final'!$AC$12="Moderado"),CONCATENATE("R1C",'Mapa final'!$Q$12),"")</f>
        <v/>
      </c>
      <c r="X36" s="66" t="str">
        <f>IF(AND('Mapa final'!$AA$13="Baja",'Mapa final'!$AC$13="Moderado"),CONCATENATE("R1C",'Mapa final'!$Q$13),"")</f>
        <v/>
      </c>
      <c r="Y36" s="66" t="str">
        <f>IF(AND('Mapa final'!$AA$14="Baja",'Mapa final'!$AC$14="Moderado"),CONCATENATE("R1C",'Mapa final'!$Q$14),"")</f>
        <v/>
      </c>
      <c r="Z36" s="66" t="str">
        <f>IF(AND('Mapa final'!$AA$15="Baja",'Mapa final'!$AC$15="Moderado"),CONCATENATE("R1C",'Mapa final'!$Q$15),"")</f>
        <v/>
      </c>
      <c r="AA36" s="67" t="str">
        <f>IF(AND('Mapa final'!$AA$16="Baja",'Mapa final'!$AC$16="Moderado"),CONCATENATE("R1C",'Mapa final'!$Q$16),"")</f>
        <v/>
      </c>
      <c r="AB36" s="46" t="str">
        <f>IF(AND('Mapa final'!$AA$11="Baja",'Mapa final'!$AC$11="Mayor"),CONCATENATE("R1C",'Mapa final'!$Q$11),"")</f>
        <v/>
      </c>
      <c r="AC36" s="47" t="str">
        <f>IF(AND('Mapa final'!$AA$12="Baja",'Mapa final'!$AC$12="Mayor"),CONCATENATE("R1C",'Mapa final'!$Q$12),"")</f>
        <v/>
      </c>
      <c r="AD36" s="47" t="str">
        <f>IF(AND('Mapa final'!$AA$13="Baja",'Mapa final'!$AC$13="Mayor"),CONCATENATE("R1C",'Mapa final'!$Q$13),"")</f>
        <v/>
      </c>
      <c r="AE36" s="47" t="str">
        <f>IF(AND('Mapa final'!$AA$14="Baja",'Mapa final'!$AC$14="Mayor"),CONCATENATE("R1C",'Mapa final'!$Q$14),"")</f>
        <v/>
      </c>
      <c r="AF36" s="47" t="str">
        <f>IF(AND('Mapa final'!$AA$15="Baja",'Mapa final'!$AC$15="Mayor"),CONCATENATE("R1C",'Mapa final'!$Q$15),"")</f>
        <v/>
      </c>
      <c r="AG36" s="48" t="str">
        <f>IF(AND('Mapa final'!$AA$16="Baja",'Mapa final'!$AC$16="Mayor"),CONCATENATE("R1C",'Mapa final'!$Q$16),"")</f>
        <v/>
      </c>
      <c r="AH36" s="49" t="str">
        <f>IF(AND('Mapa final'!$AA$11="Baja",'Mapa final'!$AC$11="Catastrófico"),CONCATENATE("R1C",'Mapa final'!$Q$11),"")</f>
        <v/>
      </c>
      <c r="AI36" s="50" t="str">
        <f>IF(AND('Mapa final'!$AA$12="Baja",'Mapa final'!$AC$12="Catastrófico"),CONCATENATE("R1C",'Mapa final'!$Q$12),"")</f>
        <v/>
      </c>
      <c r="AJ36" s="50" t="str">
        <f>IF(AND('Mapa final'!$AA$13="Baja",'Mapa final'!$AC$13="Catastrófico"),CONCATENATE("R1C",'Mapa final'!$Q$13),"")</f>
        <v/>
      </c>
      <c r="AK36" s="50" t="str">
        <f>IF(AND('Mapa final'!$AA$14="Baja",'Mapa final'!$AC$14="Catastrófico"),CONCATENATE("R1C",'Mapa final'!$Q$14),"")</f>
        <v/>
      </c>
      <c r="AL36" s="50" t="str">
        <f>IF(AND('Mapa final'!$AA$15="Baja",'Mapa final'!$AC$15="Catastrófico"),CONCATENATE("R1C",'Mapa final'!$Q$15),"")</f>
        <v/>
      </c>
      <c r="AM36" s="51" t="str">
        <f>IF(AND('Mapa final'!$AA$16="Baja",'Mapa final'!$AC$16="Catastrófico"),CONCATENATE("R1C",'Mapa final'!$Q$16),"")</f>
        <v/>
      </c>
      <c r="AN36" s="84"/>
      <c r="AO36" s="383" t="s">
        <v>79</v>
      </c>
      <c r="AP36" s="384"/>
      <c r="AQ36" s="384"/>
      <c r="AR36" s="384"/>
      <c r="AS36" s="384"/>
      <c r="AT36" s="385"/>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3">
      <c r="A37" s="84"/>
      <c r="B37" s="313"/>
      <c r="C37" s="313"/>
      <c r="D37" s="314"/>
      <c r="E37" s="370"/>
      <c r="F37" s="371"/>
      <c r="G37" s="371"/>
      <c r="H37" s="371"/>
      <c r="I37" s="371"/>
      <c r="J37" s="77" t="str">
        <f>IF(AND('Mapa final'!$AA$17="Baja",'Mapa final'!$AC$17="Leve"),CONCATENATE("R2C",'Mapa final'!$Q$17),"")</f>
        <v/>
      </c>
      <c r="K37" s="78" t="str">
        <f>IF(AND('Mapa final'!$AA$18="Baja",'Mapa final'!$AC$18="Leve"),CONCATENATE("R2C",'Mapa final'!$Q$18),"")</f>
        <v/>
      </c>
      <c r="L37" s="78" t="str">
        <f>IF(AND('Mapa final'!$AA$19="Baja",'Mapa final'!$AC$19="Leve"),CONCATENATE("R2C",'Mapa final'!$Q$19),"")</f>
        <v/>
      </c>
      <c r="M37" s="78" t="str">
        <f>IF(AND('Mapa final'!$AA$20="Baja",'Mapa final'!$AC$20="Leve"),CONCATENATE("R2C",'Mapa final'!$Q$20),"")</f>
        <v/>
      </c>
      <c r="N37" s="78" t="str">
        <f>IF(AND('Mapa final'!$AA$21="Baja",'Mapa final'!$AC$21="Leve"),CONCATENATE("R2C",'Mapa final'!$Q$21),"")</f>
        <v/>
      </c>
      <c r="O37" s="79" t="str">
        <f>IF(AND('Mapa final'!$AA$22="Baja",'Mapa final'!$AC$22="Leve"),CONCATENATE("R2C",'Mapa final'!$Q$22),"")</f>
        <v/>
      </c>
      <c r="P37" s="68" t="str">
        <f>IF(AND('Mapa final'!$AA$17="Baja",'Mapa final'!$AC$17="Menor"),CONCATENATE("R2C",'Mapa final'!$Q$17),"")</f>
        <v/>
      </c>
      <c r="Q37" s="69" t="str">
        <f>IF(AND('Mapa final'!$AA$18="Baja",'Mapa final'!$AC$18="Menor"),CONCATENATE("R2C",'Mapa final'!$Q$18),"")</f>
        <v/>
      </c>
      <c r="R37" s="69" t="str">
        <f>IF(AND('Mapa final'!$AA$19="Baja",'Mapa final'!$AC$19="Menor"),CONCATENATE("R2C",'Mapa final'!$Q$19),"")</f>
        <v/>
      </c>
      <c r="S37" s="69" t="str">
        <f>IF(AND('Mapa final'!$AA$20="Baja",'Mapa final'!$AC$20="Menor"),CONCATENATE("R2C",'Mapa final'!$Q$20),"")</f>
        <v/>
      </c>
      <c r="T37" s="69" t="str">
        <f>IF(AND('Mapa final'!$AA$21="Baja",'Mapa final'!$AC$21="Menor"),CONCATENATE("R2C",'Mapa final'!$Q$21),"")</f>
        <v/>
      </c>
      <c r="U37" s="70" t="str">
        <f>IF(AND('Mapa final'!$AA$22="Baja",'Mapa final'!$AC$22="Menor"),CONCATENATE("R2C",'Mapa final'!$Q$22),"")</f>
        <v/>
      </c>
      <c r="V37" s="68" t="str">
        <f>IF(AND('Mapa final'!$AA$17="Baja",'Mapa final'!$AC$17="Moderado"),CONCATENATE("R2C",'Mapa final'!$Q$17),"")</f>
        <v/>
      </c>
      <c r="W37" s="69" t="str">
        <f>IF(AND('Mapa final'!$AA$18="Baja",'Mapa final'!$AC$18="Moderado"),CONCATENATE("R2C",'Mapa final'!$Q$18),"")</f>
        <v/>
      </c>
      <c r="X37" s="69" t="str">
        <f>IF(AND('Mapa final'!$AA$19="Baja",'Mapa final'!$AC$19="Moderado"),CONCATENATE("R2C",'Mapa final'!$Q$19),"")</f>
        <v/>
      </c>
      <c r="Y37" s="69" t="str">
        <f>IF(AND('Mapa final'!$AA$20="Baja",'Mapa final'!$AC$20="Moderado"),CONCATENATE("R2C",'Mapa final'!$Q$20),"")</f>
        <v/>
      </c>
      <c r="Z37" s="69" t="str">
        <f>IF(AND('Mapa final'!$AA$21="Baja",'Mapa final'!$AC$21="Moderado"),CONCATENATE("R2C",'Mapa final'!$Q$21),"")</f>
        <v/>
      </c>
      <c r="AA37" s="70" t="str">
        <f>IF(AND('Mapa final'!$AA$22="Baja",'Mapa final'!$AC$22="Moderado"),CONCATENATE("R2C",'Mapa final'!$Q$22),"")</f>
        <v/>
      </c>
      <c r="AB37" s="52" t="str">
        <f>IF(AND('Mapa final'!$AA$17="Baja",'Mapa final'!$AC$17="Mayor"),CONCATENATE("R2C",'Mapa final'!$Q$17),"")</f>
        <v/>
      </c>
      <c r="AC37" s="53" t="str">
        <f>IF(AND('Mapa final'!$AA$18="Baja",'Mapa final'!$AC$18="Mayor"),CONCATENATE("R2C",'Mapa final'!$Q$18),"")</f>
        <v/>
      </c>
      <c r="AD37" s="53" t="str">
        <f>IF(AND('Mapa final'!$AA$19="Baja",'Mapa final'!$AC$19="Mayor"),CONCATENATE("R2C",'Mapa final'!$Q$19),"")</f>
        <v/>
      </c>
      <c r="AE37" s="53" t="str">
        <f>IF(AND('Mapa final'!$AA$20="Baja",'Mapa final'!$AC$20="Mayor"),CONCATENATE("R2C",'Mapa final'!$Q$20),"")</f>
        <v/>
      </c>
      <c r="AF37" s="53" t="str">
        <f>IF(AND('Mapa final'!$AA$21="Baja",'Mapa final'!$AC$21="Mayor"),CONCATENATE("R2C",'Mapa final'!$Q$21),"")</f>
        <v/>
      </c>
      <c r="AG37" s="54" t="str">
        <f>IF(AND('Mapa final'!$AA$22="Baja",'Mapa final'!$AC$22="Mayor"),CONCATENATE("R2C",'Mapa final'!$Q$22),"")</f>
        <v/>
      </c>
      <c r="AH37" s="55" t="str">
        <f>IF(AND('Mapa final'!$AA$17="Baja",'Mapa final'!$AC$17="Catastrófico"),CONCATENATE("R2C",'Mapa final'!$Q$17),"")</f>
        <v/>
      </c>
      <c r="AI37" s="56" t="str">
        <f>IF(AND('Mapa final'!$AA$18="Baja",'Mapa final'!$AC$18="Catastrófico"),CONCATENATE("R2C",'Mapa final'!$Q$18),"")</f>
        <v/>
      </c>
      <c r="AJ37" s="56" t="str">
        <f>IF(AND('Mapa final'!$AA$19="Baja",'Mapa final'!$AC$19="Catastrófico"),CONCATENATE("R2C",'Mapa final'!$Q$19),"")</f>
        <v/>
      </c>
      <c r="AK37" s="56" t="str">
        <f>IF(AND('Mapa final'!$AA$20="Baja",'Mapa final'!$AC$20="Catastrófico"),CONCATENATE("R2C",'Mapa final'!$Q$20),"")</f>
        <v/>
      </c>
      <c r="AL37" s="56" t="str">
        <f>IF(AND('Mapa final'!$AA$21="Baja",'Mapa final'!$AC$21="Catastrófico"),CONCATENATE("R2C",'Mapa final'!$Q$21),"")</f>
        <v/>
      </c>
      <c r="AM37" s="57" t="str">
        <f>IF(AND('Mapa final'!$AA$22="Baja",'Mapa final'!$AC$22="Catastrófico"),CONCATENATE("R2C",'Mapa final'!$Q$22),"")</f>
        <v/>
      </c>
      <c r="AN37" s="84"/>
      <c r="AO37" s="386"/>
      <c r="AP37" s="387"/>
      <c r="AQ37" s="387"/>
      <c r="AR37" s="387"/>
      <c r="AS37" s="387"/>
      <c r="AT37" s="388"/>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3">
      <c r="A38" s="84"/>
      <c r="B38" s="313"/>
      <c r="C38" s="313"/>
      <c r="D38" s="314"/>
      <c r="E38" s="354"/>
      <c r="F38" s="355"/>
      <c r="G38" s="355"/>
      <c r="H38" s="355"/>
      <c r="I38" s="371"/>
      <c r="J38" s="77" t="str">
        <f>IF(AND('Mapa final'!$AA$23="Baja",'Mapa final'!$AC$23="Leve"),CONCATENATE("R3C",'Mapa final'!$Q$23),"")</f>
        <v/>
      </c>
      <c r="K38" s="78" t="str">
        <f>IF(AND('Mapa final'!$AA$24="Baja",'Mapa final'!$AC$24="Leve"),CONCATENATE("R3C",'Mapa final'!$Q$24),"")</f>
        <v/>
      </c>
      <c r="L38" s="78" t="str">
        <f>IF(AND('Mapa final'!$AA$25="Baja",'Mapa final'!$AC$25="Leve"),CONCATENATE("R3C",'Mapa final'!$Q$25),"")</f>
        <v/>
      </c>
      <c r="M38" s="78" t="str">
        <f>IF(AND('Mapa final'!$AA$26="Baja",'Mapa final'!$AC$26="Leve"),CONCATENATE("R3C",'Mapa final'!$Q$26),"")</f>
        <v/>
      </c>
      <c r="N38" s="78" t="str">
        <f>IF(AND('Mapa final'!$AA$27="Baja",'Mapa final'!$AC$27="Leve"),CONCATENATE("R3C",'Mapa final'!$Q$27),"")</f>
        <v/>
      </c>
      <c r="O38" s="79" t="str">
        <f>IF(AND('Mapa final'!$AA$28="Baja",'Mapa final'!$AC$28="Leve"),CONCATENATE("R3C",'Mapa final'!$Q$28),"")</f>
        <v/>
      </c>
      <c r="P38" s="68" t="str">
        <f>IF(AND('Mapa final'!$AA$23="Baja",'Mapa final'!$AC$23="Menor"),CONCATENATE("R3C",'Mapa final'!$Q$23),"")</f>
        <v/>
      </c>
      <c r="Q38" s="69" t="str">
        <f>IF(AND('Mapa final'!$AA$24="Baja",'Mapa final'!$AC$24="Menor"),CONCATENATE("R3C",'Mapa final'!$Q$24),"")</f>
        <v/>
      </c>
      <c r="R38" s="69" t="str">
        <f>IF(AND('Mapa final'!$AA$25="Baja",'Mapa final'!$AC$25="Menor"),CONCATENATE("R3C",'Mapa final'!$Q$25),"")</f>
        <v/>
      </c>
      <c r="S38" s="69" t="str">
        <f>IF(AND('Mapa final'!$AA$26="Baja",'Mapa final'!$AC$26="Menor"),CONCATENATE("R3C",'Mapa final'!$Q$26),"")</f>
        <v/>
      </c>
      <c r="T38" s="69" t="str">
        <f>IF(AND('Mapa final'!$AA$27="Baja",'Mapa final'!$AC$27="Menor"),CONCATENATE("R3C",'Mapa final'!$Q$27),"")</f>
        <v/>
      </c>
      <c r="U38" s="70" t="str">
        <f>IF(AND('Mapa final'!$AA$28="Baja",'Mapa final'!$AC$28="Menor"),CONCATENATE("R3C",'Mapa final'!$Q$28),"")</f>
        <v/>
      </c>
      <c r="V38" s="68" t="str">
        <f>IF(AND('Mapa final'!$AA$23="Baja",'Mapa final'!$AC$23="Moderado"),CONCATENATE("R3C",'Mapa final'!$Q$23),"")</f>
        <v>R3C1</v>
      </c>
      <c r="W38" s="69" t="str">
        <f>IF(AND('Mapa final'!$AA$24="Baja",'Mapa final'!$AC$24="Moderado"),CONCATENATE("R3C",'Mapa final'!$Q$24),"")</f>
        <v/>
      </c>
      <c r="X38" s="69" t="str">
        <f>IF(AND('Mapa final'!$AA$25="Baja",'Mapa final'!$AC$25="Moderado"),CONCATENATE("R3C",'Mapa final'!$Q$25),"")</f>
        <v/>
      </c>
      <c r="Y38" s="69" t="str">
        <f>IF(AND('Mapa final'!$AA$26="Baja",'Mapa final'!$AC$26="Moderado"),CONCATENATE("R3C",'Mapa final'!$Q$26),"")</f>
        <v/>
      </c>
      <c r="Z38" s="69" t="str">
        <f>IF(AND('Mapa final'!$AA$27="Baja",'Mapa final'!$AC$27="Moderado"),CONCATENATE("R3C",'Mapa final'!$Q$27),"")</f>
        <v/>
      </c>
      <c r="AA38" s="70" t="str">
        <f>IF(AND('Mapa final'!$AA$28="Baja",'Mapa final'!$AC$28="Moderado"),CONCATENATE("R3C",'Mapa final'!$Q$28),"")</f>
        <v/>
      </c>
      <c r="AB38" s="52" t="str">
        <f>IF(AND('Mapa final'!$AA$23="Baja",'Mapa final'!$AC$23="Mayor"),CONCATENATE("R3C",'Mapa final'!$Q$23),"")</f>
        <v/>
      </c>
      <c r="AC38" s="53" t="str">
        <f>IF(AND('Mapa final'!$AA$24="Baja",'Mapa final'!$AC$24="Mayor"),CONCATENATE("R3C",'Mapa final'!$Q$24),"")</f>
        <v/>
      </c>
      <c r="AD38" s="53" t="str">
        <f>IF(AND('Mapa final'!$AA$25="Baja",'Mapa final'!$AC$25="Mayor"),CONCATENATE("R3C",'Mapa final'!$Q$25),"")</f>
        <v/>
      </c>
      <c r="AE38" s="53" t="str">
        <f>IF(AND('Mapa final'!$AA$26="Baja",'Mapa final'!$AC$26="Mayor"),CONCATENATE("R3C",'Mapa final'!$Q$26),"")</f>
        <v/>
      </c>
      <c r="AF38" s="53" t="str">
        <f>IF(AND('Mapa final'!$AA$27="Baja",'Mapa final'!$AC$27="Mayor"),CONCATENATE("R3C",'Mapa final'!$Q$27),"")</f>
        <v/>
      </c>
      <c r="AG38" s="54" t="str">
        <f>IF(AND('Mapa final'!$AA$28="Baja",'Mapa final'!$AC$28="Mayor"),CONCATENATE("R3C",'Mapa final'!$Q$28),"")</f>
        <v/>
      </c>
      <c r="AH38" s="55" t="str">
        <f>IF(AND('Mapa final'!$AA$23="Baja",'Mapa final'!$AC$23="Catastrófico"),CONCATENATE("R3C",'Mapa final'!$Q$23),"")</f>
        <v/>
      </c>
      <c r="AI38" s="56" t="str">
        <f>IF(AND('Mapa final'!$AA$24="Baja",'Mapa final'!$AC$24="Catastrófico"),CONCATENATE("R3C",'Mapa final'!$Q$24),"")</f>
        <v/>
      </c>
      <c r="AJ38" s="56" t="str">
        <f>IF(AND('Mapa final'!$AA$25="Baja",'Mapa final'!$AC$25="Catastrófico"),CONCATENATE("R3C",'Mapa final'!$Q$25),"")</f>
        <v/>
      </c>
      <c r="AK38" s="56" t="str">
        <f>IF(AND('Mapa final'!$AA$26="Baja",'Mapa final'!$AC$26="Catastrófico"),CONCATENATE("R3C",'Mapa final'!$Q$26),"")</f>
        <v/>
      </c>
      <c r="AL38" s="56" t="str">
        <f>IF(AND('Mapa final'!$AA$27="Baja",'Mapa final'!$AC$27="Catastrófico"),CONCATENATE("R3C",'Mapa final'!$Q$27),"")</f>
        <v/>
      </c>
      <c r="AM38" s="57" t="str">
        <f>IF(AND('Mapa final'!$AA$28="Baja",'Mapa final'!$AC$28="Catastrófico"),CONCATENATE("R3C",'Mapa final'!$Q$28),"")</f>
        <v/>
      </c>
      <c r="AN38" s="84"/>
      <c r="AO38" s="386"/>
      <c r="AP38" s="387"/>
      <c r="AQ38" s="387"/>
      <c r="AR38" s="387"/>
      <c r="AS38" s="387"/>
      <c r="AT38" s="388"/>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3">
      <c r="A39" s="84"/>
      <c r="B39" s="313"/>
      <c r="C39" s="313"/>
      <c r="D39" s="314"/>
      <c r="E39" s="354"/>
      <c r="F39" s="355"/>
      <c r="G39" s="355"/>
      <c r="H39" s="355"/>
      <c r="I39" s="371"/>
      <c r="J39" s="77" t="str">
        <f>IF(AND('Mapa final'!$AA$29="Baja",'Mapa final'!$AC$29="Leve"),CONCATENATE("R4C",'Mapa final'!$Q$29),"")</f>
        <v/>
      </c>
      <c r="K39" s="78" t="str">
        <f>IF(AND('Mapa final'!$AA$30="Baja",'Mapa final'!$AC$30="Leve"),CONCATENATE("R4C",'Mapa final'!$Q$30),"")</f>
        <v/>
      </c>
      <c r="L39" s="78" t="str">
        <f>IF(AND('Mapa final'!$AA$31="Baja",'Mapa final'!$AC$31="Leve"),CONCATENATE("R4C",'Mapa final'!$Q$31),"")</f>
        <v/>
      </c>
      <c r="M39" s="78" t="str">
        <f>IF(AND('Mapa final'!$AA$32="Baja",'Mapa final'!$AC$32="Leve"),CONCATENATE("R4C",'Mapa final'!$Q$32),"")</f>
        <v/>
      </c>
      <c r="N39" s="78" t="str">
        <f>IF(AND('Mapa final'!$AA$33="Baja",'Mapa final'!$AC$33="Leve"),CONCATENATE("R4C",'Mapa final'!$Q$33),"")</f>
        <v/>
      </c>
      <c r="O39" s="79" t="str">
        <f>IF(AND('Mapa final'!$AA$34="Baja",'Mapa final'!$AC$34="Leve"),CONCATENATE("R4C",'Mapa final'!$Q$34),"")</f>
        <v/>
      </c>
      <c r="P39" s="68" t="str">
        <f>IF(AND('Mapa final'!$AA$29="Baja",'Mapa final'!$AC$29="Menor"),CONCATENATE("R4C",'Mapa final'!$Q$29),"")</f>
        <v/>
      </c>
      <c r="Q39" s="69" t="str">
        <f>IF(AND('Mapa final'!$AA$30="Baja",'Mapa final'!$AC$30="Menor"),CONCATENATE("R4C",'Mapa final'!$Q$30),"")</f>
        <v/>
      </c>
      <c r="R39" s="69" t="str">
        <f>IF(AND('Mapa final'!$AA$31="Baja",'Mapa final'!$AC$31="Menor"),CONCATENATE("R4C",'Mapa final'!$Q$31),"")</f>
        <v/>
      </c>
      <c r="S39" s="69" t="str">
        <f>IF(AND('Mapa final'!$AA$32="Baja",'Mapa final'!$AC$32="Menor"),CONCATENATE("R4C",'Mapa final'!$Q$32),"")</f>
        <v/>
      </c>
      <c r="T39" s="69" t="str">
        <f>IF(AND('Mapa final'!$AA$33="Baja",'Mapa final'!$AC$33="Menor"),CONCATENATE("R4C",'Mapa final'!$Q$33),"")</f>
        <v/>
      </c>
      <c r="U39" s="70" t="str">
        <f>IF(AND('Mapa final'!$AA$34="Baja",'Mapa final'!$AC$34="Menor"),CONCATENATE("R4C",'Mapa final'!$Q$34),"")</f>
        <v/>
      </c>
      <c r="V39" s="68" t="str">
        <f>IF(AND('Mapa final'!$AA$29="Baja",'Mapa final'!$AC$29="Moderado"),CONCATENATE("R4C",'Mapa final'!$Q$29),"")</f>
        <v/>
      </c>
      <c r="W39" s="69" t="str">
        <f>IF(AND('Mapa final'!$AA$30="Baja",'Mapa final'!$AC$30="Moderado"),CONCATENATE("R4C",'Mapa final'!$Q$30),"")</f>
        <v/>
      </c>
      <c r="X39" s="69" t="str">
        <f>IF(AND('Mapa final'!$AA$31="Baja",'Mapa final'!$AC$31="Moderado"),CONCATENATE("R4C",'Mapa final'!$Q$31),"")</f>
        <v/>
      </c>
      <c r="Y39" s="69" t="str">
        <f>IF(AND('Mapa final'!$AA$32="Baja",'Mapa final'!$AC$32="Moderado"),CONCATENATE("R4C",'Mapa final'!$Q$32),"")</f>
        <v/>
      </c>
      <c r="Z39" s="69" t="str">
        <f>IF(AND('Mapa final'!$AA$33="Baja",'Mapa final'!$AC$33="Moderado"),CONCATENATE("R4C",'Mapa final'!$Q$33),"")</f>
        <v/>
      </c>
      <c r="AA39" s="70" t="str">
        <f>IF(AND('Mapa final'!$AA$34="Baja",'Mapa final'!$AC$34="Moderado"),CONCATENATE("R4C",'Mapa final'!$Q$34),"")</f>
        <v/>
      </c>
      <c r="AB39" s="52" t="str">
        <f>IF(AND('Mapa final'!$AA$29="Baja",'Mapa final'!$AC$29="Mayor"),CONCATENATE("R4C",'Mapa final'!$Q$29),"")</f>
        <v/>
      </c>
      <c r="AC39" s="53" t="str">
        <f>IF(AND('Mapa final'!$AA$30="Baja",'Mapa final'!$AC$30="Mayor"),CONCATENATE("R4C",'Mapa final'!$Q$30),"")</f>
        <v/>
      </c>
      <c r="AD39" s="53" t="str">
        <f>IF(AND('Mapa final'!$AA$31="Baja",'Mapa final'!$AC$31="Mayor"),CONCATENATE("R4C",'Mapa final'!$Q$31),"")</f>
        <v/>
      </c>
      <c r="AE39" s="53" t="str">
        <f>IF(AND('Mapa final'!$AA$32="Baja",'Mapa final'!$AC$32="Mayor"),CONCATENATE("R4C",'Mapa final'!$Q$32),"")</f>
        <v/>
      </c>
      <c r="AF39" s="53" t="str">
        <f>IF(AND('Mapa final'!$AA$33="Baja",'Mapa final'!$AC$33="Mayor"),CONCATENATE("R4C",'Mapa final'!$Q$33),"")</f>
        <v/>
      </c>
      <c r="AG39" s="54" t="str">
        <f>IF(AND('Mapa final'!$AA$34="Baja",'Mapa final'!$AC$34="Mayor"),CONCATENATE("R4C",'Mapa final'!$Q$34),"")</f>
        <v/>
      </c>
      <c r="AH39" s="55" t="str">
        <f>IF(AND('Mapa final'!$AA$29="Baja",'Mapa final'!$AC$29="Catastrófico"),CONCATENATE("R4C",'Mapa final'!$Q$29),"")</f>
        <v/>
      </c>
      <c r="AI39" s="56" t="str">
        <f>IF(AND('Mapa final'!$AA$30="Baja",'Mapa final'!$AC$30="Catastrófico"),CONCATENATE("R4C",'Mapa final'!$Q$30),"")</f>
        <v/>
      </c>
      <c r="AJ39" s="56" t="str">
        <f>IF(AND('Mapa final'!$AA$31="Baja",'Mapa final'!$AC$31="Catastrófico"),CONCATENATE("R4C",'Mapa final'!$Q$31),"")</f>
        <v/>
      </c>
      <c r="AK39" s="56" t="str">
        <f>IF(AND('Mapa final'!$AA$32="Baja",'Mapa final'!$AC$32="Catastrófico"),CONCATENATE("R4C",'Mapa final'!$Q$32),"")</f>
        <v/>
      </c>
      <c r="AL39" s="56" t="str">
        <f>IF(AND('Mapa final'!$AA$33="Baja",'Mapa final'!$AC$33="Catastrófico"),CONCATENATE("R4C",'Mapa final'!$Q$33),"")</f>
        <v/>
      </c>
      <c r="AM39" s="57" t="str">
        <f>IF(AND('Mapa final'!$AA$34="Baja",'Mapa final'!$AC$34="Catastrófico"),CONCATENATE("R4C",'Mapa final'!$Q$34),"")</f>
        <v/>
      </c>
      <c r="AN39" s="84"/>
      <c r="AO39" s="386"/>
      <c r="AP39" s="387"/>
      <c r="AQ39" s="387"/>
      <c r="AR39" s="387"/>
      <c r="AS39" s="387"/>
      <c r="AT39" s="388"/>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3">
      <c r="A40" s="84"/>
      <c r="B40" s="313"/>
      <c r="C40" s="313"/>
      <c r="D40" s="314"/>
      <c r="E40" s="354"/>
      <c r="F40" s="355"/>
      <c r="G40" s="355"/>
      <c r="H40" s="355"/>
      <c r="I40" s="371"/>
      <c r="J40" s="77" t="str">
        <f>IF(AND('Mapa final'!$AA$35="Baja",'Mapa final'!$AC$35="Leve"),CONCATENATE("R5C",'Mapa final'!$Q$35),"")</f>
        <v/>
      </c>
      <c r="K40" s="78" t="str">
        <f>IF(AND('Mapa final'!$AA$36="Baja",'Mapa final'!$AC$36="Leve"),CONCATENATE("R5C",'Mapa final'!$Q$36),"")</f>
        <v/>
      </c>
      <c r="L40" s="78" t="str">
        <f>IF(AND('Mapa final'!$AA$37="Baja",'Mapa final'!$AC$37="Leve"),CONCATENATE("R5C",'Mapa final'!$Q$37),"")</f>
        <v/>
      </c>
      <c r="M40" s="78" t="str">
        <f>IF(AND('Mapa final'!$AA$38="Baja",'Mapa final'!$AC$38="Leve"),CONCATENATE("R5C",'Mapa final'!$Q$38),"")</f>
        <v/>
      </c>
      <c r="N40" s="78" t="str">
        <f>IF(AND('Mapa final'!$AA$39="Baja",'Mapa final'!$AC$39="Leve"),CONCATENATE("R5C",'Mapa final'!$Q$39),"")</f>
        <v/>
      </c>
      <c r="O40" s="79" t="str">
        <f>IF(AND('Mapa final'!$AA$40="Baja",'Mapa final'!$AC$40="Leve"),CONCATENATE("R5C",'Mapa final'!$Q$40),"")</f>
        <v/>
      </c>
      <c r="P40" s="68" t="str">
        <f>IF(AND('Mapa final'!$AA$35="Baja",'Mapa final'!$AC$35="Menor"),CONCATENATE("R5C",'Mapa final'!$Q$35),"")</f>
        <v/>
      </c>
      <c r="Q40" s="69" t="str">
        <f>IF(AND('Mapa final'!$AA$36="Baja",'Mapa final'!$AC$36="Menor"),CONCATENATE("R5C",'Mapa final'!$Q$36),"")</f>
        <v/>
      </c>
      <c r="R40" s="69" t="str">
        <f>IF(AND('Mapa final'!$AA$37="Baja",'Mapa final'!$AC$37="Menor"),CONCATENATE("R5C",'Mapa final'!$Q$37),"")</f>
        <v/>
      </c>
      <c r="S40" s="69" t="str">
        <f>IF(AND('Mapa final'!$AA$38="Baja",'Mapa final'!$AC$38="Menor"),CONCATENATE("R5C",'Mapa final'!$Q$38),"")</f>
        <v/>
      </c>
      <c r="T40" s="69" t="str">
        <f>IF(AND('Mapa final'!$AA$39="Baja",'Mapa final'!$AC$39="Menor"),CONCATENATE("R5C",'Mapa final'!$Q$39),"")</f>
        <v/>
      </c>
      <c r="U40" s="70" t="str">
        <f>IF(AND('Mapa final'!$AA$40="Baja",'Mapa final'!$AC$40="Menor"),CONCATENATE("R5C",'Mapa final'!$Q$40),"")</f>
        <v/>
      </c>
      <c r="V40" s="68" t="str">
        <f>IF(AND('Mapa final'!$AA$35="Baja",'Mapa final'!$AC$35="Moderado"),CONCATENATE("R5C",'Mapa final'!$Q$35),"")</f>
        <v/>
      </c>
      <c r="W40" s="69" t="str">
        <f>IF(AND('Mapa final'!$AA$36="Baja",'Mapa final'!$AC$36="Moderado"),CONCATENATE("R5C",'Mapa final'!$Q$36),"")</f>
        <v/>
      </c>
      <c r="X40" s="69" t="str">
        <f>IF(AND('Mapa final'!$AA$37="Baja",'Mapa final'!$AC$37="Moderado"),CONCATENATE("R5C",'Mapa final'!$Q$37),"")</f>
        <v/>
      </c>
      <c r="Y40" s="69" t="str">
        <f>IF(AND('Mapa final'!$AA$38="Baja",'Mapa final'!$AC$38="Moderado"),CONCATENATE("R5C",'Mapa final'!$Q$38),"")</f>
        <v/>
      </c>
      <c r="Z40" s="69" t="str">
        <f>IF(AND('Mapa final'!$AA$39="Baja",'Mapa final'!$AC$39="Moderado"),CONCATENATE("R5C",'Mapa final'!$Q$39),"")</f>
        <v/>
      </c>
      <c r="AA40" s="70" t="str">
        <f>IF(AND('Mapa final'!$AA$40="Baja",'Mapa final'!$AC$40="Moderado"),CONCATENATE("R5C",'Mapa final'!$Q$40),"")</f>
        <v/>
      </c>
      <c r="AB40" s="52" t="str">
        <f>IF(AND('Mapa final'!$AA$35="Baja",'Mapa final'!$AC$35="Mayor"),CONCATENATE("R5C",'Mapa final'!$Q$35),"")</f>
        <v/>
      </c>
      <c r="AC40" s="53" t="str">
        <f>IF(AND('Mapa final'!$AA$36="Baja",'Mapa final'!$AC$36="Mayor"),CONCATENATE("R5C",'Mapa final'!$Q$36),"")</f>
        <v/>
      </c>
      <c r="AD40" s="58" t="str">
        <f>IF(AND('Mapa final'!$AA$37="Baja",'Mapa final'!$AC$37="Mayor"),CONCATENATE("R5C",'Mapa final'!$Q$37),"")</f>
        <v/>
      </c>
      <c r="AE40" s="58" t="str">
        <f>IF(AND('Mapa final'!$AA$38="Baja",'Mapa final'!$AC$38="Mayor"),CONCATENATE("R5C",'Mapa final'!$Q$38),"")</f>
        <v/>
      </c>
      <c r="AF40" s="58" t="str">
        <f>IF(AND('Mapa final'!$AA$39="Baja",'Mapa final'!$AC$39="Mayor"),CONCATENATE("R5C",'Mapa final'!$Q$39),"")</f>
        <v/>
      </c>
      <c r="AG40" s="54" t="str">
        <f>IF(AND('Mapa final'!$AA$40="Baja",'Mapa final'!$AC$40="Mayor"),CONCATENATE("R5C",'Mapa final'!$Q$40),"")</f>
        <v/>
      </c>
      <c r="AH40" s="55" t="str">
        <f>IF(AND('Mapa final'!$AA$35="Baja",'Mapa final'!$AC$35="Catastrófico"),CONCATENATE("R5C",'Mapa final'!$Q$35),"")</f>
        <v/>
      </c>
      <c r="AI40" s="56" t="str">
        <f>IF(AND('Mapa final'!$AA$36="Baja",'Mapa final'!$AC$36="Catastrófico"),CONCATENATE("R5C",'Mapa final'!$Q$36),"")</f>
        <v/>
      </c>
      <c r="AJ40" s="56" t="str">
        <f>IF(AND('Mapa final'!$AA$37="Baja",'Mapa final'!$AC$37="Catastrófico"),CONCATENATE("R5C",'Mapa final'!$Q$37),"")</f>
        <v/>
      </c>
      <c r="AK40" s="56" t="str">
        <f>IF(AND('Mapa final'!$AA$38="Baja",'Mapa final'!$AC$38="Catastrófico"),CONCATENATE("R5C",'Mapa final'!$Q$38),"")</f>
        <v/>
      </c>
      <c r="AL40" s="56" t="str">
        <f>IF(AND('Mapa final'!$AA$39="Baja",'Mapa final'!$AC$39="Catastrófico"),CONCATENATE("R5C",'Mapa final'!$Q$39),"")</f>
        <v/>
      </c>
      <c r="AM40" s="57" t="str">
        <f>IF(AND('Mapa final'!$AA$40="Baja",'Mapa final'!$AC$40="Catastrófico"),CONCATENATE("R5C",'Mapa final'!$Q$40),"")</f>
        <v/>
      </c>
      <c r="AN40" s="84"/>
      <c r="AO40" s="386"/>
      <c r="AP40" s="387"/>
      <c r="AQ40" s="387"/>
      <c r="AR40" s="387"/>
      <c r="AS40" s="387"/>
      <c r="AT40" s="388"/>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3">
      <c r="A41" s="84"/>
      <c r="B41" s="313"/>
      <c r="C41" s="313"/>
      <c r="D41" s="314"/>
      <c r="E41" s="354"/>
      <c r="F41" s="355"/>
      <c r="G41" s="355"/>
      <c r="H41" s="355"/>
      <c r="I41" s="371"/>
      <c r="J41" s="77" t="str">
        <f>IF(AND('Mapa final'!$AA$41="Baja",'Mapa final'!$AC$41="Leve"),CONCATENATE("R6C",'Mapa final'!$Q$41),"")</f>
        <v/>
      </c>
      <c r="K41" s="78" t="str">
        <f>IF(AND('Mapa final'!$AA$42="Baja",'Mapa final'!$AC$42="Leve"),CONCATENATE("R6C",'Mapa final'!$Q$42),"")</f>
        <v/>
      </c>
      <c r="L41" s="78" t="str">
        <f>IF(AND('Mapa final'!$AA$43="Baja",'Mapa final'!$AC$43="Leve"),CONCATENATE("R6C",'Mapa final'!$Q$43),"")</f>
        <v/>
      </c>
      <c r="M41" s="78" t="str">
        <f>IF(AND('Mapa final'!$AA$44="Baja",'Mapa final'!$AC$44="Leve"),CONCATENATE("R6C",'Mapa final'!$Q$44),"")</f>
        <v/>
      </c>
      <c r="N41" s="78" t="str">
        <f>IF(AND('Mapa final'!$AA$45="Baja",'Mapa final'!$AC$45="Leve"),CONCATENATE("R6C",'Mapa final'!$Q$45),"")</f>
        <v/>
      </c>
      <c r="O41" s="79" t="str">
        <f>IF(AND('Mapa final'!$AA$46="Baja",'Mapa final'!$AC$46="Leve"),CONCATENATE("R6C",'Mapa final'!$Q$46),"")</f>
        <v/>
      </c>
      <c r="P41" s="68" t="str">
        <f>IF(AND('Mapa final'!$AA$41="Baja",'Mapa final'!$AC$41="Menor"),CONCATENATE("R6C",'Mapa final'!$Q$41),"")</f>
        <v/>
      </c>
      <c r="Q41" s="69" t="str">
        <f>IF(AND('Mapa final'!$AA$42="Baja",'Mapa final'!$AC$42="Menor"),CONCATENATE("R6C",'Mapa final'!$Q$42),"")</f>
        <v/>
      </c>
      <c r="R41" s="69" t="str">
        <f>IF(AND('Mapa final'!$AA$43="Baja",'Mapa final'!$AC$43="Menor"),CONCATENATE("R6C",'Mapa final'!$Q$43),"")</f>
        <v/>
      </c>
      <c r="S41" s="69" t="str">
        <f>IF(AND('Mapa final'!$AA$44="Baja",'Mapa final'!$AC$44="Menor"),CONCATENATE("R6C",'Mapa final'!$Q$44),"")</f>
        <v/>
      </c>
      <c r="T41" s="69" t="str">
        <f>IF(AND('Mapa final'!$AA$45="Baja",'Mapa final'!$AC$45="Menor"),CONCATENATE("R6C",'Mapa final'!$Q$45),"")</f>
        <v/>
      </c>
      <c r="U41" s="70" t="str">
        <f>IF(AND('Mapa final'!$AA$46="Baja",'Mapa final'!$AC$46="Menor"),CONCATENATE("R6C",'Mapa final'!$Q$46),"")</f>
        <v/>
      </c>
      <c r="V41" s="68" t="str">
        <f>IF(AND('Mapa final'!$AA$41="Baja",'Mapa final'!$AC$41="Moderado"),CONCATENATE("R6C",'Mapa final'!$Q$41),"")</f>
        <v/>
      </c>
      <c r="W41" s="69" t="str">
        <f>IF(AND('Mapa final'!$AA$42="Baja",'Mapa final'!$AC$42="Moderado"),CONCATENATE("R6C",'Mapa final'!$Q$42),"")</f>
        <v/>
      </c>
      <c r="X41" s="69" t="str">
        <f>IF(AND('Mapa final'!$AA$43="Baja",'Mapa final'!$AC$43="Moderado"),CONCATENATE("R6C",'Mapa final'!$Q$43),"")</f>
        <v/>
      </c>
      <c r="Y41" s="69" t="str">
        <f>IF(AND('Mapa final'!$AA$44="Baja",'Mapa final'!$AC$44="Moderado"),CONCATENATE("R6C",'Mapa final'!$Q$44),"")</f>
        <v/>
      </c>
      <c r="Z41" s="69" t="str">
        <f>IF(AND('Mapa final'!$AA$45="Baja",'Mapa final'!$AC$45="Moderado"),CONCATENATE("R6C",'Mapa final'!$Q$45),"")</f>
        <v/>
      </c>
      <c r="AA41" s="70" t="str">
        <f>IF(AND('Mapa final'!$AA$46="Baja",'Mapa final'!$AC$46="Moderado"),CONCATENATE("R6C",'Mapa final'!$Q$46),"")</f>
        <v/>
      </c>
      <c r="AB41" s="52" t="str">
        <f>IF(AND('Mapa final'!$AA$41="Baja",'Mapa final'!$AC$41="Mayor"),CONCATENATE("R6C",'Mapa final'!$Q$41),"")</f>
        <v/>
      </c>
      <c r="AC41" s="53" t="str">
        <f>IF(AND('Mapa final'!$AA$42="Baja",'Mapa final'!$AC$42="Mayor"),CONCATENATE("R6C",'Mapa final'!$Q$42),"")</f>
        <v/>
      </c>
      <c r="AD41" s="58" t="str">
        <f>IF(AND('Mapa final'!$AA$43="Baja",'Mapa final'!$AC$43="Mayor"),CONCATENATE("R6C",'Mapa final'!$Q$43),"")</f>
        <v/>
      </c>
      <c r="AE41" s="58" t="str">
        <f>IF(AND('Mapa final'!$AA$44="Baja",'Mapa final'!$AC$44="Mayor"),CONCATENATE("R6C",'Mapa final'!$Q$44),"")</f>
        <v/>
      </c>
      <c r="AF41" s="58" t="str">
        <f>IF(AND('Mapa final'!$AA$45="Baja",'Mapa final'!$AC$45="Mayor"),CONCATENATE("R6C",'Mapa final'!$Q$45),"")</f>
        <v/>
      </c>
      <c r="AG41" s="54" t="str">
        <f>IF(AND('Mapa final'!$AA$46="Baja",'Mapa final'!$AC$46="Mayor"),CONCATENATE("R6C",'Mapa final'!$Q$46),"")</f>
        <v/>
      </c>
      <c r="AH41" s="55" t="str">
        <f>IF(AND('Mapa final'!$AA$41="Baja",'Mapa final'!$AC$41="Catastrófico"),CONCATENATE("R6C",'Mapa final'!$Q$41),"")</f>
        <v/>
      </c>
      <c r="AI41" s="56" t="str">
        <f>IF(AND('Mapa final'!$AA$42="Baja",'Mapa final'!$AC$42="Catastrófico"),CONCATENATE("R6C",'Mapa final'!$Q$42),"")</f>
        <v/>
      </c>
      <c r="AJ41" s="56" t="str">
        <f>IF(AND('Mapa final'!$AA$43="Baja",'Mapa final'!$AC$43="Catastrófico"),CONCATENATE("R6C",'Mapa final'!$Q$43),"")</f>
        <v/>
      </c>
      <c r="AK41" s="56" t="str">
        <f>IF(AND('Mapa final'!$AA$44="Baja",'Mapa final'!$AC$44="Catastrófico"),CONCATENATE("R6C",'Mapa final'!$Q$44),"")</f>
        <v/>
      </c>
      <c r="AL41" s="56" t="str">
        <f>IF(AND('Mapa final'!$AA$45="Baja",'Mapa final'!$AC$45="Catastrófico"),CONCATENATE("R6C",'Mapa final'!$Q$45),"")</f>
        <v/>
      </c>
      <c r="AM41" s="57" t="str">
        <f>IF(AND('Mapa final'!$AA$46="Baja",'Mapa final'!$AC$46="Catastrófico"),CONCATENATE("R6C",'Mapa final'!$Q$46),"")</f>
        <v/>
      </c>
      <c r="AN41" s="84"/>
      <c r="AO41" s="386"/>
      <c r="AP41" s="387"/>
      <c r="AQ41" s="387"/>
      <c r="AR41" s="387"/>
      <c r="AS41" s="387"/>
      <c r="AT41" s="388"/>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3">
      <c r="A42" s="84"/>
      <c r="B42" s="313"/>
      <c r="C42" s="313"/>
      <c r="D42" s="314"/>
      <c r="E42" s="354"/>
      <c r="F42" s="355"/>
      <c r="G42" s="355"/>
      <c r="H42" s="355"/>
      <c r="I42" s="371"/>
      <c r="J42" s="77" t="str">
        <f>IF(AND('Mapa final'!$AA$47="Baja",'Mapa final'!$AC$47="Leve"),CONCATENATE("R7C",'Mapa final'!$Q$47),"")</f>
        <v/>
      </c>
      <c r="K42" s="78" t="str">
        <f>IF(AND('Mapa final'!$AA$48="Baja",'Mapa final'!$AC$48="Leve"),CONCATENATE("R7C",'Mapa final'!$Q$48),"")</f>
        <v/>
      </c>
      <c r="L42" s="78" t="str">
        <f>IF(AND('Mapa final'!$AA$49="Baja",'Mapa final'!$AC$49="Leve"),CONCATENATE("R7C",'Mapa final'!$Q$49),"")</f>
        <v/>
      </c>
      <c r="M42" s="78" t="str">
        <f>IF(AND('Mapa final'!$AA$50="Baja",'Mapa final'!$AC$50="Leve"),CONCATENATE("R7C",'Mapa final'!$Q$50),"")</f>
        <v/>
      </c>
      <c r="N42" s="78" t="str">
        <f>IF(AND('Mapa final'!$AA$51="Baja",'Mapa final'!$AC$51="Leve"),CONCATENATE("R7C",'Mapa final'!$Q$51),"")</f>
        <v/>
      </c>
      <c r="O42" s="79" t="str">
        <f>IF(AND('Mapa final'!$AA$52="Baja",'Mapa final'!$AC$52="Leve"),CONCATENATE("R7C",'Mapa final'!$Q$52),"")</f>
        <v/>
      </c>
      <c r="P42" s="68" t="str">
        <f>IF(AND('Mapa final'!$AA$47="Baja",'Mapa final'!$AC$47="Menor"),CONCATENATE("R7C",'Mapa final'!$Q$47),"")</f>
        <v/>
      </c>
      <c r="Q42" s="69" t="str">
        <f>IF(AND('Mapa final'!$AA$48="Baja",'Mapa final'!$AC$48="Menor"),CONCATENATE("R7C",'Mapa final'!$Q$48),"")</f>
        <v/>
      </c>
      <c r="R42" s="69" t="str">
        <f>IF(AND('Mapa final'!$AA$49="Baja",'Mapa final'!$AC$49="Menor"),CONCATENATE("R7C",'Mapa final'!$Q$49),"")</f>
        <v/>
      </c>
      <c r="S42" s="69" t="str">
        <f>IF(AND('Mapa final'!$AA$50="Baja",'Mapa final'!$AC$50="Menor"),CONCATENATE("R7C",'Mapa final'!$Q$50),"")</f>
        <v/>
      </c>
      <c r="T42" s="69" t="str">
        <f>IF(AND('Mapa final'!$AA$51="Baja",'Mapa final'!$AC$51="Menor"),CONCATENATE("R7C",'Mapa final'!$Q$51),"")</f>
        <v/>
      </c>
      <c r="U42" s="70" t="str">
        <f>IF(AND('Mapa final'!$AA$52="Baja",'Mapa final'!$AC$52="Menor"),CONCATENATE("R7C",'Mapa final'!$Q$52),"")</f>
        <v/>
      </c>
      <c r="V42" s="68" t="str">
        <f>IF(AND('Mapa final'!$AA$47="Baja",'Mapa final'!$AC$47="Moderado"),CONCATENATE("R7C",'Mapa final'!$Q$47),"")</f>
        <v/>
      </c>
      <c r="W42" s="69" t="str">
        <f>IF(AND('Mapa final'!$AA$48="Baja",'Mapa final'!$AC$48="Moderado"),CONCATENATE("R7C",'Mapa final'!$Q$48),"")</f>
        <v/>
      </c>
      <c r="X42" s="69" t="str">
        <f>IF(AND('Mapa final'!$AA$49="Baja",'Mapa final'!$AC$49="Moderado"),CONCATENATE("R7C",'Mapa final'!$Q$49),"")</f>
        <v/>
      </c>
      <c r="Y42" s="69" t="str">
        <f>IF(AND('Mapa final'!$AA$50="Baja",'Mapa final'!$AC$50="Moderado"),CONCATENATE("R7C",'Mapa final'!$Q$50),"")</f>
        <v/>
      </c>
      <c r="Z42" s="69" t="str">
        <f>IF(AND('Mapa final'!$AA$51="Baja",'Mapa final'!$AC$51="Moderado"),CONCATENATE("R7C",'Mapa final'!$Q$51),"")</f>
        <v/>
      </c>
      <c r="AA42" s="70" t="str">
        <f>IF(AND('Mapa final'!$AA$52="Baja",'Mapa final'!$AC$52="Moderado"),CONCATENATE("R7C",'Mapa final'!$Q$52),"")</f>
        <v/>
      </c>
      <c r="AB42" s="52" t="str">
        <f>IF(AND('Mapa final'!$AA$47="Baja",'Mapa final'!$AC$47="Mayor"),CONCATENATE("R7C",'Mapa final'!$Q$47),"")</f>
        <v/>
      </c>
      <c r="AC42" s="53" t="str">
        <f>IF(AND('Mapa final'!$AA$48="Baja",'Mapa final'!$AC$48="Mayor"),CONCATENATE("R7C",'Mapa final'!$Q$48),"")</f>
        <v/>
      </c>
      <c r="AD42" s="58" t="str">
        <f>IF(AND('Mapa final'!$AA$49="Baja",'Mapa final'!$AC$49="Mayor"),CONCATENATE("R7C",'Mapa final'!$Q$49),"")</f>
        <v/>
      </c>
      <c r="AE42" s="58" t="str">
        <f>IF(AND('Mapa final'!$AA$50="Baja",'Mapa final'!$AC$50="Mayor"),CONCATENATE("R7C",'Mapa final'!$Q$50),"")</f>
        <v/>
      </c>
      <c r="AF42" s="58" t="str">
        <f>IF(AND('Mapa final'!$AA$51="Baja",'Mapa final'!$AC$51="Mayor"),CONCATENATE("R7C",'Mapa final'!$Q$51),"")</f>
        <v/>
      </c>
      <c r="AG42" s="54" t="str">
        <f>IF(AND('Mapa final'!$AA$52="Baja",'Mapa final'!$AC$52="Mayor"),CONCATENATE("R7C",'Mapa final'!$Q$52),"")</f>
        <v/>
      </c>
      <c r="AH42" s="55" t="str">
        <f>IF(AND('Mapa final'!$AA$47="Baja",'Mapa final'!$AC$47="Catastrófico"),CONCATENATE("R7C",'Mapa final'!$Q$47),"")</f>
        <v/>
      </c>
      <c r="AI42" s="56" t="str">
        <f>IF(AND('Mapa final'!$AA$48="Baja",'Mapa final'!$AC$48="Catastrófico"),CONCATENATE("R7C",'Mapa final'!$Q$48),"")</f>
        <v/>
      </c>
      <c r="AJ42" s="56" t="str">
        <f>IF(AND('Mapa final'!$AA$49="Baja",'Mapa final'!$AC$49="Catastrófico"),CONCATENATE("R7C",'Mapa final'!$Q$49),"")</f>
        <v/>
      </c>
      <c r="AK42" s="56" t="str">
        <f>IF(AND('Mapa final'!$AA$50="Baja",'Mapa final'!$AC$50="Catastrófico"),CONCATENATE("R7C",'Mapa final'!$Q$50),"")</f>
        <v/>
      </c>
      <c r="AL42" s="56" t="str">
        <f>IF(AND('Mapa final'!$AA$51="Baja",'Mapa final'!$AC$51="Catastrófico"),CONCATENATE("R7C",'Mapa final'!$Q$51),"")</f>
        <v/>
      </c>
      <c r="AM42" s="57" t="str">
        <f>IF(AND('Mapa final'!$AA$52="Baja",'Mapa final'!$AC$52="Catastrófico"),CONCATENATE("R7C",'Mapa final'!$Q$52),"")</f>
        <v/>
      </c>
      <c r="AN42" s="84"/>
      <c r="AO42" s="386"/>
      <c r="AP42" s="387"/>
      <c r="AQ42" s="387"/>
      <c r="AR42" s="387"/>
      <c r="AS42" s="387"/>
      <c r="AT42" s="388"/>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3">
      <c r="A43" s="84"/>
      <c r="B43" s="313"/>
      <c r="C43" s="313"/>
      <c r="D43" s="314"/>
      <c r="E43" s="354"/>
      <c r="F43" s="355"/>
      <c r="G43" s="355"/>
      <c r="H43" s="355"/>
      <c r="I43" s="371"/>
      <c r="J43" s="77" t="str">
        <f>IF(AND('Mapa final'!$AA$53="Baja",'Mapa final'!$AC$53="Leve"),CONCATENATE("R8C",'Mapa final'!$Q$53),"")</f>
        <v/>
      </c>
      <c r="K43" s="78" t="str">
        <f>IF(AND('Mapa final'!$AA$54="Baja",'Mapa final'!$AC$54="Leve"),CONCATENATE("R8C",'Mapa final'!$Q$54),"")</f>
        <v/>
      </c>
      <c r="L43" s="78" t="str">
        <f>IF(AND('Mapa final'!$AA$55="Baja",'Mapa final'!$AC$55="Leve"),CONCATENATE("R8C",'Mapa final'!$Q$55),"")</f>
        <v/>
      </c>
      <c r="M43" s="78" t="str">
        <f>IF(AND('Mapa final'!$AA$56="Baja",'Mapa final'!$AC$56="Leve"),CONCATENATE("R8C",'Mapa final'!$Q$56),"")</f>
        <v/>
      </c>
      <c r="N43" s="78" t="str">
        <f>IF(AND('Mapa final'!$AA$57="Baja",'Mapa final'!$AC$57="Leve"),CONCATENATE("R8C",'Mapa final'!$Q$57),"")</f>
        <v/>
      </c>
      <c r="O43" s="79" t="str">
        <f>IF(AND('Mapa final'!$AA$58="Baja",'Mapa final'!$AC$58="Leve"),CONCATENATE("R8C",'Mapa final'!$Q$58),"")</f>
        <v/>
      </c>
      <c r="P43" s="68" t="str">
        <f>IF(AND('Mapa final'!$AA$53="Baja",'Mapa final'!$AC$53="Menor"),CONCATENATE("R8C",'Mapa final'!$Q$53),"")</f>
        <v/>
      </c>
      <c r="Q43" s="69" t="str">
        <f>IF(AND('Mapa final'!$AA$54="Baja",'Mapa final'!$AC$54="Menor"),CONCATENATE("R8C",'Mapa final'!$Q$54),"")</f>
        <v/>
      </c>
      <c r="R43" s="69" t="str">
        <f>IF(AND('Mapa final'!$AA$55="Baja",'Mapa final'!$AC$55="Menor"),CONCATENATE("R8C",'Mapa final'!$Q$55),"")</f>
        <v/>
      </c>
      <c r="S43" s="69" t="str">
        <f>IF(AND('Mapa final'!$AA$56="Baja",'Mapa final'!$AC$56="Menor"),CONCATENATE("R8C",'Mapa final'!$Q$56),"")</f>
        <v/>
      </c>
      <c r="T43" s="69" t="str">
        <f>IF(AND('Mapa final'!$AA$57="Baja",'Mapa final'!$AC$57="Menor"),CONCATENATE("R8C",'Mapa final'!$Q$57),"")</f>
        <v/>
      </c>
      <c r="U43" s="70" t="str">
        <f>IF(AND('Mapa final'!$AA$58="Baja",'Mapa final'!$AC$58="Menor"),CONCATENATE("R8C",'Mapa final'!$Q$58),"")</f>
        <v/>
      </c>
      <c r="V43" s="68" t="str">
        <f>IF(AND('Mapa final'!$AA$53="Baja",'Mapa final'!$AC$53="Moderado"),CONCATENATE("R8C",'Mapa final'!$Q$53),"")</f>
        <v/>
      </c>
      <c r="W43" s="69" t="str">
        <f>IF(AND('Mapa final'!$AA$54="Baja",'Mapa final'!$AC$54="Moderado"),CONCATENATE("R8C",'Mapa final'!$Q$54),"")</f>
        <v/>
      </c>
      <c r="X43" s="69" t="str">
        <f>IF(AND('Mapa final'!$AA$55="Baja",'Mapa final'!$AC$55="Moderado"),CONCATENATE("R8C",'Mapa final'!$Q$55),"")</f>
        <v/>
      </c>
      <c r="Y43" s="69" t="str">
        <f>IF(AND('Mapa final'!$AA$56="Baja",'Mapa final'!$AC$56="Moderado"),CONCATENATE("R8C",'Mapa final'!$Q$56),"")</f>
        <v/>
      </c>
      <c r="Z43" s="69" t="str">
        <f>IF(AND('Mapa final'!$AA$57="Baja",'Mapa final'!$AC$57="Moderado"),CONCATENATE("R8C",'Mapa final'!$Q$57),"")</f>
        <v/>
      </c>
      <c r="AA43" s="70" t="str">
        <f>IF(AND('Mapa final'!$AA$58="Baja",'Mapa final'!$AC$58="Moderado"),CONCATENATE("R8C",'Mapa final'!$Q$58),"")</f>
        <v/>
      </c>
      <c r="AB43" s="52" t="str">
        <f>IF(AND('Mapa final'!$AA$53="Baja",'Mapa final'!$AC$53="Mayor"),CONCATENATE("R8C",'Mapa final'!$Q$53),"")</f>
        <v/>
      </c>
      <c r="AC43" s="53" t="str">
        <f>IF(AND('Mapa final'!$AA$54="Baja",'Mapa final'!$AC$54="Mayor"),CONCATENATE("R8C",'Mapa final'!$Q$54),"")</f>
        <v/>
      </c>
      <c r="AD43" s="58" t="str">
        <f>IF(AND('Mapa final'!$AA$55="Baja",'Mapa final'!$AC$55="Mayor"),CONCATENATE("R8C",'Mapa final'!$Q$55),"")</f>
        <v/>
      </c>
      <c r="AE43" s="58" t="str">
        <f>IF(AND('Mapa final'!$AA$56="Baja",'Mapa final'!$AC$56="Mayor"),CONCATENATE("R8C",'Mapa final'!$Q$56),"")</f>
        <v/>
      </c>
      <c r="AF43" s="58" t="str">
        <f>IF(AND('Mapa final'!$AA$57="Baja",'Mapa final'!$AC$57="Mayor"),CONCATENATE("R8C",'Mapa final'!$Q$57),"")</f>
        <v/>
      </c>
      <c r="AG43" s="54" t="str">
        <f>IF(AND('Mapa final'!$AA$58="Baja",'Mapa final'!$AC$58="Mayor"),CONCATENATE("R8C",'Mapa final'!$Q$58),"")</f>
        <v/>
      </c>
      <c r="AH43" s="55" t="str">
        <f>IF(AND('Mapa final'!$AA$53="Baja",'Mapa final'!$AC$53="Catastrófico"),CONCATENATE("R8C",'Mapa final'!$Q$53),"")</f>
        <v/>
      </c>
      <c r="AI43" s="56" t="str">
        <f>IF(AND('Mapa final'!$AA$54="Baja",'Mapa final'!$AC$54="Catastrófico"),CONCATENATE("R8C",'Mapa final'!$Q$54),"")</f>
        <v/>
      </c>
      <c r="AJ43" s="56" t="str">
        <f>IF(AND('Mapa final'!$AA$55="Baja",'Mapa final'!$AC$55="Catastrófico"),CONCATENATE("R8C",'Mapa final'!$Q$55),"")</f>
        <v/>
      </c>
      <c r="AK43" s="56" t="str">
        <f>IF(AND('Mapa final'!$AA$56="Baja",'Mapa final'!$AC$56="Catastrófico"),CONCATENATE("R8C",'Mapa final'!$Q$56),"")</f>
        <v/>
      </c>
      <c r="AL43" s="56" t="str">
        <f>IF(AND('Mapa final'!$AA$57="Baja",'Mapa final'!$AC$57="Catastrófico"),CONCATENATE("R8C",'Mapa final'!$Q$57),"")</f>
        <v/>
      </c>
      <c r="AM43" s="57" t="str">
        <f>IF(AND('Mapa final'!$AA$58="Baja",'Mapa final'!$AC$58="Catastrófico"),CONCATENATE("R8C",'Mapa final'!$Q$58),"")</f>
        <v/>
      </c>
      <c r="AN43" s="84"/>
      <c r="AO43" s="386"/>
      <c r="AP43" s="387"/>
      <c r="AQ43" s="387"/>
      <c r="AR43" s="387"/>
      <c r="AS43" s="387"/>
      <c r="AT43" s="388"/>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3">
      <c r="A44" s="84"/>
      <c r="B44" s="313"/>
      <c r="C44" s="313"/>
      <c r="D44" s="314"/>
      <c r="E44" s="354"/>
      <c r="F44" s="355"/>
      <c r="G44" s="355"/>
      <c r="H44" s="355"/>
      <c r="I44" s="371"/>
      <c r="J44" s="77" t="str">
        <f>IF(AND('Mapa final'!$AA$59="Baja",'Mapa final'!$AC$59="Leve"),CONCATENATE("R9C",'Mapa final'!$Q$59),"")</f>
        <v/>
      </c>
      <c r="K44" s="78" t="str">
        <f>IF(AND('Mapa final'!$AA$60="Baja",'Mapa final'!$AC$60="Leve"),CONCATENATE("R9C",'Mapa final'!$Q$60),"")</f>
        <v/>
      </c>
      <c r="L44" s="78" t="str">
        <f>IF(AND('Mapa final'!$AA$61="Baja",'Mapa final'!$AC$61="Leve"),CONCATENATE("R9C",'Mapa final'!$Q$61),"")</f>
        <v/>
      </c>
      <c r="M44" s="78" t="str">
        <f>IF(AND('Mapa final'!$AA$62="Baja",'Mapa final'!$AC$62="Leve"),CONCATENATE("R9C",'Mapa final'!$Q$62),"")</f>
        <v/>
      </c>
      <c r="N44" s="78" t="str">
        <f>IF(AND('Mapa final'!$AA$63="Baja",'Mapa final'!$AC$63="Leve"),CONCATENATE("R9C",'Mapa final'!$Q$63),"")</f>
        <v/>
      </c>
      <c r="O44" s="79" t="str">
        <f>IF(AND('Mapa final'!$AA$64="Baja",'Mapa final'!$AC$64="Leve"),CONCATENATE("R9C",'Mapa final'!$Q$64),"")</f>
        <v/>
      </c>
      <c r="P44" s="68" t="str">
        <f>IF(AND('Mapa final'!$AA$59="Baja",'Mapa final'!$AC$59="Menor"),CONCATENATE("R9C",'Mapa final'!$Q$59),"")</f>
        <v/>
      </c>
      <c r="Q44" s="69" t="str">
        <f>IF(AND('Mapa final'!$AA$60="Baja",'Mapa final'!$AC$60="Menor"),CONCATENATE("R9C",'Mapa final'!$Q$60),"")</f>
        <v/>
      </c>
      <c r="R44" s="69" t="str">
        <f>IF(AND('Mapa final'!$AA$61="Baja",'Mapa final'!$AC$61="Menor"),CONCATENATE("R9C",'Mapa final'!$Q$61),"")</f>
        <v/>
      </c>
      <c r="S44" s="69" t="str">
        <f>IF(AND('Mapa final'!$AA$62="Baja",'Mapa final'!$AC$62="Menor"),CONCATENATE("R9C",'Mapa final'!$Q$62),"")</f>
        <v/>
      </c>
      <c r="T44" s="69" t="str">
        <f>IF(AND('Mapa final'!$AA$63="Baja",'Mapa final'!$AC$63="Menor"),CONCATENATE("R9C",'Mapa final'!$Q$63),"")</f>
        <v/>
      </c>
      <c r="U44" s="70" t="str">
        <f>IF(AND('Mapa final'!$AA$64="Baja",'Mapa final'!$AC$64="Menor"),CONCATENATE("R9C",'Mapa final'!$Q$64),"")</f>
        <v/>
      </c>
      <c r="V44" s="68" t="str">
        <f>IF(AND('Mapa final'!$AA$59="Baja",'Mapa final'!$AC$59="Moderado"),CONCATENATE("R9C",'Mapa final'!$Q$59),"")</f>
        <v/>
      </c>
      <c r="W44" s="69" t="str">
        <f>IF(AND('Mapa final'!$AA$60="Baja",'Mapa final'!$AC$60="Moderado"),CONCATENATE("R9C",'Mapa final'!$Q$60),"")</f>
        <v/>
      </c>
      <c r="X44" s="69" t="str">
        <f>IF(AND('Mapa final'!$AA$61="Baja",'Mapa final'!$AC$61="Moderado"),CONCATENATE("R9C",'Mapa final'!$Q$61),"")</f>
        <v/>
      </c>
      <c r="Y44" s="69" t="str">
        <f>IF(AND('Mapa final'!$AA$62="Baja",'Mapa final'!$AC$62="Moderado"),CONCATENATE("R9C",'Mapa final'!$Q$62),"")</f>
        <v/>
      </c>
      <c r="Z44" s="69" t="str">
        <f>IF(AND('Mapa final'!$AA$63="Baja",'Mapa final'!$AC$63="Moderado"),CONCATENATE("R9C",'Mapa final'!$Q$63),"")</f>
        <v/>
      </c>
      <c r="AA44" s="70" t="str">
        <f>IF(AND('Mapa final'!$AA$64="Baja",'Mapa final'!$AC$64="Moderado"),CONCATENATE("R9C",'Mapa final'!$Q$64),"")</f>
        <v/>
      </c>
      <c r="AB44" s="52" t="str">
        <f>IF(AND('Mapa final'!$AA$59="Baja",'Mapa final'!$AC$59="Mayor"),CONCATENATE("R9C",'Mapa final'!$Q$59),"")</f>
        <v/>
      </c>
      <c r="AC44" s="53" t="str">
        <f>IF(AND('Mapa final'!$AA$60="Baja",'Mapa final'!$AC$60="Mayor"),CONCATENATE("R9C",'Mapa final'!$Q$60),"")</f>
        <v/>
      </c>
      <c r="AD44" s="58" t="str">
        <f>IF(AND('Mapa final'!$AA$61="Baja",'Mapa final'!$AC$61="Mayor"),CONCATENATE("R9C",'Mapa final'!$Q$61),"")</f>
        <v/>
      </c>
      <c r="AE44" s="58" t="str">
        <f>IF(AND('Mapa final'!$AA$62="Baja",'Mapa final'!$AC$62="Mayor"),CONCATENATE("R9C",'Mapa final'!$Q$62),"")</f>
        <v/>
      </c>
      <c r="AF44" s="58" t="str">
        <f>IF(AND('Mapa final'!$AA$63="Baja",'Mapa final'!$AC$63="Mayor"),CONCATENATE("R9C",'Mapa final'!$Q$63),"")</f>
        <v/>
      </c>
      <c r="AG44" s="54" t="str">
        <f>IF(AND('Mapa final'!$AA$64="Baja",'Mapa final'!$AC$64="Mayor"),CONCATENATE("R9C",'Mapa final'!$Q$64),"")</f>
        <v/>
      </c>
      <c r="AH44" s="55" t="str">
        <f>IF(AND('Mapa final'!$AA$59="Baja",'Mapa final'!$AC$59="Catastrófico"),CONCATENATE("R9C",'Mapa final'!$Q$59),"")</f>
        <v/>
      </c>
      <c r="AI44" s="56" t="str">
        <f>IF(AND('Mapa final'!$AA$60="Baja",'Mapa final'!$AC$60="Catastrófico"),CONCATENATE("R9C",'Mapa final'!$Q$60),"")</f>
        <v/>
      </c>
      <c r="AJ44" s="56" t="str">
        <f>IF(AND('Mapa final'!$AA$61="Baja",'Mapa final'!$AC$61="Catastrófico"),CONCATENATE("R9C",'Mapa final'!$Q$61),"")</f>
        <v/>
      </c>
      <c r="AK44" s="56" t="str">
        <f>IF(AND('Mapa final'!$AA$62="Baja",'Mapa final'!$AC$62="Catastrófico"),CONCATENATE("R9C",'Mapa final'!$Q$62),"")</f>
        <v/>
      </c>
      <c r="AL44" s="56" t="str">
        <f>IF(AND('Mapa final'!$AA$63="Baja",'Mapa final'!$AC$63="Catastrófico"),CONCATENATE("R9C",'Mapa final'!$Q$63),"")</f>
        <v/>
      </c>
      <c r="AM44" s="57" t="str">
        <f>IF(AND('Mapa final'!$AA$64="Baja",'Mapa final'!$AC$64="Catastrófico"),CONCATENATE("R9C",'Mapa final'!$Q$64),"")</f>
        <v/>
      </c>
      <c r="AN44" s="84"/>
      <c r="AO44" s="386"/>
      <c r="AP44" s="387"/>
      <c r="AQ44" s="387"/>
      <c r="AR44" s="387"/>
      <c r="AS44" s="387"/>
      <c r="AT44" s="388"/>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5">
      <c r="A45" s="84"/>
      <c r="B45" s="313"/>
      <c r="C45" s="313"/>
      <c r="D45" s="314"/>
      <c r="E45" s="357"/>
      <c r="F45" s="358"/>
      <c r="G45" s="358"/>
      <c r="H45" s="358"/>
      <c r="I45" s="358"/>
      <c r="J45" s="80" t="str">
        <f>IF(AND('Mapa final'!$AA$65="Baja",'Mapa final'!$AC$65="Leve"),CONCATENATE("R10C",'Mapa final'!$Q$65),"")</f>
        <v/>
      </c>
      <c r="K45" s="81" t="str">
        <f>IF(AND('Mapa final'!$AA$66="Baja",'Mapa final'!$AC$66="Leve"),CONCATENATE("R10C",'Mapa final'!$Q$66),"")</f>
        <v/>
      </c>
      <c r="L45" s="81" t="str">
        <f>IF(AND('Mapa final'!$AA$67="Baja",'Mapa final'!$AC$67="Leve"),CONCATENATE("R10C",'Mapa final'!$Q$67),"")</f>
        <v/>
      </c>
      <c r="M45" s="81" t="str">
        <f>IF(AND('Mapa final'!$AA$68="Baja",'Mapa final'!$AC$68="Leve"),CONCATENATE("R10C",'Mapa final'!$Q$68),"")</f>
        <v/>
      </c>
      <c r="N45" s="81" t="str">
        <f>IF(AND('Mapa final'!$AA$69="Baja",'Mapa final'!$AC$69="Leve"),CONCATENATE("R10C",'Mapa final'!$Q$69),"")</f>
        <v/>
      </c>
      <c r="O45" s="82" t="str">
        <f>IF(AND('Mapa final'!$AA$70="Baja",'Mapa final'!$AC$70="Leve"),CONCATENATE("R10C",'Mapa final'!$Q$70),"")</f>
        <v/>
      </c>
      <c r="P45" s="68" t="str">
        <f>IF(AND('Mapa final'!$AA$65="Baja",'Mapa final'!$AC$65="Menor"),CONCATENATE("R10C",'Mapa final'!$Q$65),"")</f>
        <v/>
      </c>
      <c r="Q45" s="69" t="str">
        <f>IF(AND('Mapa final'!$AA$66="Baja",'Mapa final'!$AC$66="Menor"),CONCATENATE("R10C",'Mapa final'!$Q$66),"")</f>
        <v/>
      </c>
      <c r="R45" s="69" t="str">
        <f>IF(AND('Mapa final'!$AA$67="Baja",'Mapa final'!$AC$67="Menor"),CONCATENATE("R10C",'Mapa final'!$Q$67),"")</f>
        <v/>
      </c>
      <c r="S45" s="69" t="str">
        <f>IF(AND('Mapa final'!$AA$68="Baja",'Mapa final'!$AC$68="Menor"),CONCATENATE("R10C",'Mapa final'!$Q$68),"")</f>
        <v/>
      </c>
      <c r="T45" s="69" t="str">
        <f>IF(AND('Mapa final'!$AA$69="Baja",'Mapa final'!$AC$69="Menor"),CONCATENATE("R10C",'Mapa final'!$Q$69),"")</f>
        <v/>
      </c>
      <c r="U45" s="70" t="str">
        <f>IF(AND('Mapa final'!$AA$70="Baja",'Mapa final'!$AC$70="Menor"),CONCATENATE("R10C",'Mapa final'!$Q$70),"")</f>
        <v/>
      </c>
      <c r="V45" s="71" t="str">
        <f>IF(AND('Mapa final'!$AA$65="Baja",'Mapa final'!$AC$65="Moderado"),CONCATENATE("R10C",'Mapa final'!$Q$65),"")</f>
        <v/>
      </c>
      <c r="W45" s="72" t="str">
        <f>IF(AND('Mapa final'!$AA$66="Baja",'Mapa final'!$AC$66="Moderado"),CONCATENATE("R10C",'Mapa final'!$Q$66),"")</f>
        <v/>
      </c>
      <c r="X45" s="72" t="str">
        <f>IF(AND('Mapa final'!$AA$67="Baja",'Mapa final'!$AC$67="Moderado"),CONCATENATE("R10C",'Mapa final'!$Q$67),"")</f>
        <v/>
      </c>
      <c r="Y45" s="72" t="str">
        <f>IF(AND('Mapa final'!$AA$68="Baja",'Mapa final'!$AC$68="Moderado"),CONCATENATE("R10C",'Mapa final'!$Q$68),"")</f>
        <v/>
      </c>
      <c r="Z45" s="72" t="str">
        <f>IF(AND('Mapa final'!$AA$69="Baja",'Mapa final'!$AC$69="Moderado"),CONCATENATE("R10C",'Mapa final'!$Q$69),"")</f>
        <v/>
      </c>
      <c r="AA45" s="73" t="str">
        <f>IF(AND('Mapa final'!$AA$70="Baja",'Mapa final'!$AC$70="Moderado"),CONCATENATE("R10C",'Mapa final'!$Q$70),"")</f>
        <v/>
      </c>
      <c r="AB45" s="59" t="str">
        <f>IF(AND('Mapa final'!$AA$65="Baja",'Mapa final'!$AC$65="Mayor"),CONCATENATE("R10C",'Mapa final'!$Q$65),"")</f>
        <v/>
      </c>
      <c r="AC45" s="60" t="str">
        <f>IF(AND('Mapa final'!$AA$66="Baja",'Mapa final'!$AC$66="Mayor"),CONCATENATE("R10C",'Mapa final'!$Q$66),"")</f>
        <v/>
      </c>
      <c r="AD45" s="60" t="str">
        <f>IF(AND('Mapa final'!$AA$67="Baja",'Mapa final'!$AC$67="Mayor"),CONCATENATE("R10C",'Mapa final'!$Q$67),"")</f>
        <v/>
      </c>
      <c r="AE45" s="60" t="str">
        <f>IF(AND('Mapa final'!$AA$68="Baja",'Mapa final'!$AC$68="Mayor"),CONCATENATE("R10C",'Mapa final'!$Q$68),"")</f>
        <v/>
      </c>
      <c r="AF45" s="60" t="str">
        <f>IF(AND('Mapa final'!$AA$69="Baja",'Mapa final'!$AC$69="Mayor"),CONCATENATE("R10C",'Mapa final'!$Q$69),"")</f>
        <v/>
      </c>
      <c r="AG45" s="61" t="str">
        <f>IF(AND('Mapa final'!$AA$70="Baja",'Mapa final'!$AC$70="Mayor"),CONCATENATE("R10C",'Mapa final'!$Q$70),"")</f>
        <v/>
      </c>
      <c r="AH45" s="62" t="str">
        <f>IF(AND('Mapa final'!$AA$65="Baja",'Mapa final'!$AC$65="Catastrófico"),CONCATENATE("R10C",'Mapa final'!$Q$65),"")</f>
        <v/>
      </c>
      <c r="AI45" s="63" t="str">
        <f>IF(AND('Mapa final'!$AA$66="Baja",'Mapa final'!$AC$66="Catastrófico"),CONCATENATE("R10C",'Mapa final'!$Q$66),"")</f>
        <v/>
      </c>
      <c r="AJ45" s="63" t="str">
        <f>IF(AND('Mapa final'!$AA$67="Baja",'Mapa final'!$AC$67="Catastrófico"),CONCATENATE("R10C",'Mapa final'!$Q$67),"")</f>
        <v/>
      </c>
      <c r="AK45" s="63" t="str">
        <f>IF(AND('Mapa final'!$AA$68="Baja",'Mapa final'!$AC$68="Catastrófico"),CONCATENATE("R10C",'Mapa final'!$Q$68),"")</f>
        <v/>
      </c>
      <c r="AL45" s="63" t="str">
        <f>IF(AND('Mapa final'!$AA$69="Baja",'Mapa final'!$AC$69="Catastrófico"),CONCATENATE("R10C",'Mapa final'!$Q$69),"")</f>
        <v/>
      </c>
      <c r="AM45" s="64" t="str">
        <f>IF(AND('Mapa final'!$AA$70="Baja",'Mapa final'!$AC$70="Catastrófico"),CONCATENATE("R10C",'Mapa final'!$Q$70),"")</f>
        <v/>
      </c>
      <c r="AN45" s="84"/>
      <c r="AO45" s="389"/>
      <c r="AP45" s="390"/>
      <c r="AQ45" s="390"/>
      <c r="AR45" s="390"/>
      <c r="AS45" s="390"/>
      <c r="AT45" s="391"/>
    </row>
    <row r="46" spans="1:80" ht="46.5" customHeight="1" x14ac:dyDescent="0.45">
      <c r="A46" s="84"/>
      <c r="B46" s="313"/>
      <c r="C46" s="313"/>
      <c r="D46" s="314"/>
      <c r="E46" s="351" t="s">
        <v>105</v>
      </c>
      <c r="F46" s="352"/>
      <c r="G46" s="352"/>
      <c r="H46" s="352"/>
      <c r="I46" s="353"/>
      <c r="J46" s="74" t="str">
        <f>IF(AND('Mapa final'!$AA$11="Muy Baja",'Mapa final'!$AC$11="Leve"),CONCATENATE("R1C",'Mapa final'!$Q$11),"")</f>
        <v/>
      </c>
      <c r="K46" s="75" t="str">
        <f>IF(AND('Mapa final'!$AA$12="Muy Baja",'Mapa final'!$AC$12="Leve"),CONCATENATE("R1C",'Mapa final'!$Q$12),"")</f>
        <v/>
      </c>
      <c r="L46" s="75" t="str">
        <f>IF(AND('Mapa final'!$AA$13="Muy Baja",'Mapa final'!$AC$13="Leve"),CONCATENATE("R1C",'Mapa final'!$Q$13),"")</f>
        <v/>
      </c>
      <c r="M46" s="75" t="str">
        <f>IF(AND('Mapa final'!$AA$14="Muy Baja",'Mapa final'!$AC$14="Leve"),CONCATENATE("R1C",'Mapa final'!$Q$14),"")</f>
        <v/>
      </c>
      <c r="N46" s="75" t="str">
        <f>IF(AND('Mapa final'!$AA$15="Muy Baja",'Mapa final'!$AC$15="Leve"),CONCATENATE("R1C",'Mapa final'!$Q$15),"")</f>
        <v/>
      </c>
      <c r="O46" s="76" t="str">
        <f>IF(AND('Mapa final'!$AA$16="Muy Baja",'Mapa final'!$AC$16="Leve"),CONCATENATE("R1C",'Mapa final'!$Q$16),"")</f>
        <v/>
      </c>
      <c r="P46" s="74" t="str">
        <f>IF(AND('Mapa final'!$AA$11="Muy Baja",'Mapa final'!$AC$11="Menor"),CONCATENATE("R1C",'Mapa final'!$Q$11),"")</f>
        <v/>
      </c>
      <c r="Q46" s="75" t="str">
        <f>IF(AND('Mapa final'!$AA$12="Muy Baja",'Mapa final'!$AC$12="Menor"),CONCATENATE("R1C",'Mapa final'!$Q$12),"")</f>
        <v/>
      </c>
      <c r="R46" s="75" t="str">
        <f>IF(AND('Mapa final'!$AA$13="Muy Baja",'Mapa final'!$AC$13="Menor"),CONCATENATE("R1C",'Mapa final'!$Q$13),"")</f>
        <v/>
      </c>
      <c r="S46" s="75" t="str">
        <f>IF(AND('Mapa final'!$AA$14="Muy Baja",'Mapa final'!$AC$14="Menor"),CONCATENATE("R1C",'Mapa final'!$Q$14),"")</f>
        <v/>
      </c>
      <c r="T46" s="75" t="str">
        <f>IF(AND('Mapa final'!$AA$15="Muy Baja",'Mapa final'!$AC$15="Menor"),CONCATENATE("R1C",'Mapa final'!$Q$15),"")</f>
        <v/>
      </c>
      <c r="U46" s="76" t="str">
        <f>IF(AND('Mapa final'!$AA$16="Muy Baja",'Mapa final'!$AC$16="Menor"),CONCATENATE("R1C",'Mapa final'!$Q$16),"")</f>
        <v/>
      </c>
      <c r="V46" s="65" t="str">
        <f>IF(AND('Mapa final'!$AA$11="Muy Baja",'Mapa final'!$AC$11="Moderado"),CONCATENATE("R1C",'Mapa final'!$Q$11),"")</f>
        <v>R1C1</v>
      </c>
      <c r="W46" s="83" t="str">
        <f>IF(AND('Mapa final'!$AA$12="Muy Baja",'Mapa final'!$AC$12="Moderado"),CONCATENATE("R1C",'Mapa final'!$Q$12),"")</f>
        <v>R1C2</v>
      </c>
      <c r="X46" s="66" t="str">
        <f>IF(AND('Mapa final'!$AA$13="Muy Baja",'Mapa final'!$AC$13="Moderado"),CONCATENATE("R1C",'Mapa final'!$Q$13),"")</f>
        <v/>
      </c>
      <c r="Y46" s="66" t="str">
        <f>IF(AND('Mapa final'!$AA$14="Muy Baja",'Mapa final'!$AC$14="Moderado"),CONCATENATE("R1C",'Mapa final'!$Q$14),"")</f>
        <v/>
      </c>
      <c r="Z46" s="66" t="str">
        <f>IF(AND('Mapa final'!$AA$15="Muy Baja",'Mapa final'!$AC$15="Moderado"),CONCATENATE("R1C",'Mapa final'!$Q$15),"")</f>
        <v/>
      </c>
      <c r="AA46" s="67" t="str">
        <f>IF(AND('Mapa final'!$AA$16="Muy Baja",'Mapa final'!$AC$16="Moderado"),CONCATENATE("R1C",'Mapa final'!$Q$16),"")</f>
        <v/>
      </c>
      <c r="AB46" s="46" t="str">
        <f>IF(AND('Mapa final'!$AA$11="Muy Baja",'Mapa final'!$AC$11="Mayor"),CONCATENATE("R1C",'Mapa final'!$Q$11),"")</f>
        <v/>
      </c>
      <c r="AC46" s="47" t="str">
        <f>IF(AND('Mapa final'!$AA$12="Muy Baja",'Mapa final'!$AC$12="Mayor"),CONCATENATE("R1C",'Mapa final'!$Q$12),"")</f>
        <v/>
      </c>
      <c r="AD46" s="47" t="str">
        <f>IF(AND('Mapa final'!$AA$13="Muy Baja",'Mapa final'!$AC$13="Mayor"),CONCATENATE("R1C",'Mapa final'!$Q$13),"")</f>
        <v/>
      </c>
      <c r="AE46" s="47" t="str">
        <f>IF(AND('Mapa final'!$AA$14="Muy Baja",'Mapa final'!$AC$14="Mayor"),CONCATENATE("R1C",'Mapa final'!$Q$14),"")</f>
        <v/>
      </c>
      <c r="AF46" s="47" t="str">
        <f>IF(AND('Mapa final'!$AA$15="Muy Baja",'Mapa final'!$AC$15="Mayor"),CONCATENATE("R1C",'Mapa final'!$Q$15),"")</f>
        <v/>
      </c>
      <c r="AG46" s="48" t="str">
        <f>IF(AND('Mapa final'!$AA$16="Muy Baja",'Mapa final'!$AC$16="Mayor"),CONCATENATE("R1C",'Mapa final'!$Q$16),"")</f>
        <v/>
      </c>
      <c r="AH46" s="49" t="str">
        <f>IF(AND('Mapa final'!$AA$11="Muy Baja",'Mapa final'!$AC$11="Catastrófico"),CONCATENATE("R1C",'Mapa final'!$Q$11),"")</f>
        <v/>
      </c>
      <c r="AI46" s="50" t="str">
        <f>IF(AND('Mapa final'!$AA$12="Muy Baja",'Mapa final'!$AC$12="Catastrófico"),CONCATENATE("R1C",'Mapa final'!$Q$12),"")</f>
        <v/>
      </c>
      <c r="AJ46" s="50" t="str">
        <f>IF(AND('Mapa final'!$AA$13="Muy Baja",'Mapa final'!$AC$13="Catastrófico"),CONCATENATE("R1C",'Mapa final'!$Q$13),"")</f>
        <v/>
      </c>
      <c r="AK46" s="50" t="str">
        <f>IF(AND('Mapa final'!$AA$14="Muy Baja",'Mapa final'!$AC$14="Catastrófico"),CONCATENATE("R1C",'Mapa final'!$Q$14),"")</f>
        <v/>
      </c>
      <c r="AL46" s="50" t="str">
        <f>IF(AND('Mapa final'!$AA$15="Muy Baja",'Mapa final'!$AC$15="Catastrófico"),CONCATENATE("R1C",'Mapa final'!$Q$15),"")</f>
        <v/>
      </c>
      <c r="AM46" s="51" t="str">
        <f>IF(AND('Mapa final'!$AA$16="Muy Baja",'Mapa final'!$AC$16="Catastrófico"),CONCATENATE("R1C",'Mapa final'!$Q$16),"")</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3">
      <c r="A47" s="84"/>
      <c r="B47" s="313"/>
      <c r="C47" s="313"/>
      <c r="D47" s="314"/>
      <c r="E47" s="370"/>
      <c r="F47" s="371"/>
      <c r="G47" s="371"/>
      <c r="H47" s="371"/>
      <c r="I47" s="356"/>
      <c r="J47" s="77" t="str">
        <f>IF(AND('Mapa final'!$AA$17="Muy Baja",'Mapa final'!$AC$17="Leve"),CONCATENATE("R2C",'Mapa final'!$Q$17),"")</f>
        <v/>
      </c>
      <c r="K47" s="78" t="str">
        <f>IF(AND('Mapa final'!$AA$18="Muy Baja",'Mapa final'!$AC$18="Leve"),CONCATENATE("R2C",'Mapa final'!$Q$18),"")</f>
        <v/>
      </c>
      <c r="L47" s="78" t="str">
        <f>IF(AND('Mapa final'!$AA$19="Muy Baja",'Mapa final'!$AC$19="Leve"),CONCATENATE("R2C",'Mapa final'!$Q$19),"")</f>
        <v/>
      </c>
      <c r="M47" s="78" t="str">
        <f>IF(AND('Mapa final'!$AA$20="Muy Baja",'Mapa final'!$AC$20="Leve"),CONCATENATE("R2C",'Mapa final'!$Q$20),"")</f>
        <v/>
      </c>
      <c r="N47" s="78" t="str">
        <f>IF(AND('Mapa final'!$AA$21="Muy Baja",'Mapa final'!$AC$21="Leve"),CONCATENATE("R2C",'Mapa final'!$Q$21),"")</f>
        <v/>
      </c>
      <c r="O47" s="79" t="str">
        <f>IF(AND('Mapa final'!$AA$22="Muy Baja",'Mapa final'!$AC$22="Leve"),CONCATENATE("R2C",'Mapa final'!$Q$22),"")</f>
        <v/>
      </c>
      <c r="P47" s="77" t="str">
        <f>IF(AND('Mapa final'!$AA$17="Muy Baja",'Mapa final'!$AC$17="Menor"),CONCATENATE("R2C",'Mapa final'!$Q$17),"")</f>
        <v/>
      </c>
      <c r="Q47" s="78" t="str">
        <f>IF(AND('Mapa final'!$AA$18="Muy Baja",'Mapa final'!$AC$18="Menor"),CONCATENATE("R2C",'Mapa final'!$Q$18),"")</f>
        <v/>
      </c>
      <c r="R47" s="78" t="str">
        <f>IF(AND('Mapa final'!$AA$19="Muy Baja",'Mapa final'!$AC$19="Menor"),CONCATENATE("R2C",'Mapa final'!$Q$19),"")</f>
        <v/>
      </c>
      <c r="S47" s="78" t="str">
        <f>IF(AND('Mapa final'!$AA$20="Muy Baja",'Mapa final'!$AC$20="Menor"),CONCATENATE("R2C",'Mapa final'!$Q$20),"")</f>
        <v/>
      </c>
      <c r="T47" s="78" t="str">
        <f>IF(AND('Mapa final'!$AA$21="Muy Baja",'Mapa final'!$AC$21="Menor"),CONCATENATE("R2C",'Mapa final'!$Q$21),"")</f>
        <v/>
      </c>
      <c r="U47" s="79" t="str">
        <f>IF(AND('Mapa final'!$AA$22="Muy Baja",'Mapa final'!$AC$22="Menor"),CONCATENATE("R2C",'Mapa final'!$Q$22),"")</f>
        <v/>
      </c>
      <c r="V47" s="68" t="str">
        <f>IF(AND('Mapa final'!$AA$17="Muy Baja",'Mapa final'!$AC$17="Moderado"),CONCATENATE("R2C",'Mapa final'!$Q$17),"")</f>
        <v>R2C1</v>
      </c>
      <c r="W47" s="69" t="str">
        <f>IF(AND('Mapa final'!$AA$18="Muy Baja",'Mapa final'!$AC$18="Moderado"),CONCATENATE("R2C",'Mapa final'!$Q$18),"")</f>
        <v>R2C2</v>
      </c>
      <c r="X47" s="69" t="str">
        <f>IF(AND('Mapa final'!$AA$19="Muy Baja",'Mapa final'!$AC$19="Moderado"),CONCATENATE("R2C",'Mapa final'!$Q$19),"")</f>
        <v/>
      </c>
      <c r="Y47" s="69" t="str">
        <f>IF(AND('Mapa final'!$AA$20="Muy Baja",'Mapa final'!$AC$20="Moderado"),CONCATENATE("R2C",'Mapa final'!$Q$20),"")</f>
        <v/>
      </c>
      <c r="Z47" s="69" t="str">
        <f>IF(AND('Mapa final'!$AA$21="Muy Baja",'Mapa final'!$AC$21="Moderado"),CONCATENATE("R2C",'Mapa final'!$Q$21),"")</f>
        <v/>
      </c>
      <c r="AA47" s="70" t="str">
        <f>IF(AND('Mapa final'!$AA$22="Muy Baja",'Mapa final'!$AC$22="Moderado"),CONCATENATE("R2C",'Mapa final'!$Q$22),"")</f>
        <v/>
      </c>
      <c r="AB47" s="52" t="str">
        <f>IF(AND('Mapa final'!$AA$17="Muy Baja",'Mapa final'!$AC$17="Mayor"),CONCATENATE("R2C",'Mapa final'!$Q$17),"")</f>
        <v/>
      </c>
      <c r="AC47" s="53" t="str">
        <f>IF(AND('Mapa final'!$AA$18="Muy Baja",'Mapa final'!$AC$18="Mayor"),CONCATENATE("R2C",'Mapa final'!$Q$18),"")</f>
        <v/>
      </c>
      <c r="AD47" s="53" t="str">
        <f>IF(AND('Mapa final'!$AA$19="Muy Baja",'Mapa final'!$AC$19="Mayor"),CONCATENATE("R2C",'Mapa final'!$Q$19),"")</f>
        <v/>
      </c>
      <c r="AE47" s="53" t="str">
        <f>IF(AND('Mapa final'!$AA$20="Muy Baja",'Mapa final'!$AC$20="Mayor"),CONCATENATE("R2C",'Mapa final'!$Q$20),"")</f>
        <v/>
      </c>
      <c r="AF47" s="53" t="str">
        <f>IF(AND('Mapa final'!$AA$21="Muy Baja",'Mapa final'!$AC$21="Mayor"),CONCATENATE("R2C",'Mapa final'!$Q$21),"")</f>
        <v/>
      </c>
      <c r="AG47" s="54" t="str">
        <f>IF(AND('Mapa final'!$AA$22="Muy Baja",'Mapa final'!$AC$22="Mayor"),CONCATENATE("R2C",'Mapa final'!$Q$22),"")</f>
        <v/>
      </c>
      <c r="AH47" s="55" t="str">
        <f>IF(AND('Mapa final'!$AA$17="Muy Baja",'Mapa final'!$AC$17="Catastrófico"),CONCATENATE("R2C",'Mapa final'!$Q$17),"")</f>
        <v/>
      </c>
      <c r="AI47" s="56" t="str">
        <f>IF(AND('Mapa final'!$AA$18="Muy Baja",'Mapa final'!$AC$18="Catastrófico"),CONCATENATE("R2C",'Mapa final'!$Q$18),"")</f>
        <v/>
      </c>
      <c r="AJ47" s="56" t="str">
        <f>IF(AND('Mapa final'!$AA$19="Muy Baja",'Mapa final'!$AC$19="Catastrófico"),CONCATENATE("R2C",'Mapa final'!$Q$19),"")</f>
        <v/>
      </c>
      <c r="AK47" s="56" t="str">
        <f>IF(AND('Mapa final'!$AA$20="Muy Baja",'Mapa final'!$AC$20="Catastrófico"),CONCATENATE("R2C",'Mapa final'!$Q$20),"")</f>
        <v/>
      </c>
      <c r="AL47" s="56" t="str">
        <f>IF(AND('Mapa final'!$AA$21="Muy Baja",'Mapa final'!$AC$21="Catastrófico"),CONCATENATE("R2C",'Mapa final'!$Q$21),"")</f>
        <v/>
      </c>
      <c r="AM47" s="57" t="str">
        <f>IF(AND('Mapa final'!$AA$22="Muy Baja",'Mapa final'!$AC$22="Catastrófico"),CONCATENATE("R2C",'Mapa final'!$Q$22),"")</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3">
      <c r="A48" s="84"/>
      <c r="B48" s="313"/>
      <c r="C48" s="313"/>
      <c r="D48" s="314"/>
      <c r="E48" s="370"/>
      <c r="F48" s="371"/>
      <c r="G48" s="371"/>
      <c r="H48" s="371"/>
      <c r="I48" s="356"/>
      <c r="J48" s="77" t="str">
        <f>IF(AND('Mapa final'!$AA$23="Muy Baja",'Mapa final'!$AC$23="Leve"),CONCATENATE("R3C",'Mapa final'!$Q$23),"")</f>
        <v/>
      </c>
      <c r="K48" s="78" t="str">
        <f>IF(AND('Mapa final'!$AA$24="Muy Baja",'Mapa final'!$AC$24="Leve"),CONCATENATE("R3C",'Mapa final'!$Q$24),"")</f>
        <v/>
      </c>
      <c r="L48" s="78" t="str">
        <f>IF(AND('Mapa final'!$AA$25="Muy Baja",'Mapa final'!$AC$25="Leve"),CONCATENATE("R3C",'Mapa final'!$Q$25),"")</f>
        <v/>
      </c>
      <c r="M48" s="78" t="str">
        <f>IF(AND('Mapa final'!$AA$26="Muy Baja",'Mapa final'!$AC$26="Leve"),CONCATENATE("R3C",'Mapa final'!$Q$26),"")</f>
        <v/>
      </c>
      <c r="N48" s="78" t="str">
        <f>IF(AND('Mapa final'!$AA$27="Muy Baja",'Mapa final'!$AC$27="Leve"),CONCATENATE("R3C",'Mapa final'!$Q$27),"")</f>
        <v/>
      </c>
      <c r="O48" s="79" t="str">
        <f>IF(AND('Mapa final'!$AA$28="Muy Baja",'Mapa final'!$AC$28="Leve"),CONCATENATE("R3C",'Mapa final'!$Q$28),"")</f>
        <v/>
      </c>
      <c r="P48" s="77" t="str">
        <f>IF(AND('Mapa final'!$AA$23="Muy Baja",'Mapa final'!$AC$23="Menor"),CONCATENATE("R3C",'Mapa final'!$Q$23),"")</f>
        <v/>
      </c>
      <c r="Q48" s="78" t="str">
        <f>IF(AND('Mapa final'!$AA$24="Muy Baja",'Mapa final'!$AC$24="Menor"),CONCATENATE("R3C",'Mapa final'!$Q$24),"")</f>
        <v/>
      </c>
      <c r="R48" s="78" t="str">
        <f>IF(AND('Mapa final'!$AA$25="Muy Baja",'Mapa final'!$AC$25="Menor"),CONCATENATE("R3C",'Mapa final'!$Q$25),"")</f>
        <v/>
      </c>
      <c r="S48" s="78" t="str">
        <f>IF(AND('Mapa final'!$AA$26="Muy Baja",'Mapa final'!$AC$26="Menor"),CONCATENATE("R3C",'Mapa final'!$Q$26),"")</f>
        <v/>
      </c>
      <c r="T48" s="78" t="str">
        <f>IF(AND('Mapa final'!$AA$27="Muy Baja",'Mapa final'!$AC$27="Menor"),CONCATENATE("R3C",'Mapa final'!$Q$27),"")</f>
        <v/>
      </c>
      <c r="U48" s="79" t="str">
        <f>IF(AND('Mapa final'!$AA$28="Muy Baja",'Mapa final'!$AC$28="Menor"),CONCATENATE("R3C",'Mapa final'!$Q$28),"")</f>
        <v/>
      </c>
      <c r="V48" s="68" t="str">
        <f>IF(AND('Mapa final'!$AA$23="Muy Baja",'Mapa final'!$AC$23="Moderado"),CONCATENATE("R3C",'Mapa final'!$Q$23),"")</f>
        <v/>
      </c>
      <c r="W48" s="69" t="str">
        <f>IF(AND('Mapa final'!$AA$24="Muy Baja",'Mapa final'!$AC$24="Moderado"),CONCATENATE("R3C",'Mapa final'!$Q$24),"")</f>
        <v>R3C2</v>
      </c>
      <c r="X48" s="69" t="str">
        <f>IF(AND('Mapa final'!$AA$25="Muy Baja",'Mapa final'!$AC$25="Moderado"),CONCATENATE("R3C",'Mapa final'!$Q$25),"")</f>
        <v/>
      </c>
      <c r="Y48" s="69" t="str">
        <f>IF(AND('Mapa final'!$AA$26="Muy Baja",'Mapa final'!$AC$26="Moderado"),CONCATENATE("R3C",'Mapa final'!$Q$26),"")</f>
        <v/>
      </c>
      <c r="Z48" s="69" t="str">
        <f>IF(AND('Mapa final'!$AA$27="Muy Baja",'Mapa final'!$AC$27="Moderado"),CONCATENATE("R3C",'Mapa final'!$Q$27),"")</f>
        <v/>
      </c>
      <c r="AA48" s="70" t="str">
        <f>IF(AND('Mapa final'!$AA$28="Muy Baja",'Mapa final'!$AC$28="Moderado"),CONCATENATE("R3C",'Mapa final'!$Q$28),"")</f>
        <v/>
      </c>
      <c r="AB48" s="52" t="str">
        <f>IF(AND('Mapa final'!$AA$23="Muy Baja",'Mapa final'!$AC$23="Mayor"),CONCATENATE("R3C",'Mapa final'!$Q$23),"")</f>
        <v/>
      </c>
      <c r="AC48" s="53" t="str">
        <f>IF(AND('Mapa final'!$AA$24="Muy Baja",'Mapa final'!$AC$24="Mayor"),CONCATENATE("R3C",'Mapa final'!$Q$24),"")</f>
        <v/>
      </c>
      <c r="AD48" s="53" t="str">
        <f>IF(AND('Mapa final'!$AA$25="Muy Baja",'Mapa final'!$AC$25="Mayor"),CONCATENATE("R3C",'Mapa final'!$Q$25),"")</f>
        <v/>
      </c>
      <c r="AE48" s="53" t="str">
        <f>IF(AND('Mapa final'!$AA$26="Muy Baja",'Mapa final'!$AC$26="Mayor"),CONCATENATE("R3C",'Mapa final'!$Q$26),"")</f>
        <v/>
      </c>
      <c r="AF48" s="53" t="str">
        <f>IF(AND('Mapa final'!$AA$27="Muy Baja",'Mapa final'!$AC$27="Mayor"),CONCATENATE("R3C",'Mapa final'!$Q$27),"")</f>
        <v/>
      </c>
      <c r="AG48" s="54" t="str">
        <f>IF(AND('Mapa final'!$AA$28="Muy Baja",'Mapa final'!$AC$28="Mayor"),CONCATENATE("R3C",'Mapa final'!$Q$28),"")</f>
        <v/>
      </c>
      <c r="AH48" s="55" t="str">
        <f>IF(AND('Mapa final'!$AA$23="Muy Baja",'Mapa final'!$AC$23="Catastrófico"),CONCATENATE("R3C",'Mapa final'!$Q$23),"")</f>
        <v/>
      </c>
      <c r="AI48" s="56" t="str">
        <f>IF(AND('Mapa final'!$AA$24="Muy Baja",'Mapa final'!$AC$24="Catastrófico"),CONCATENATE("R3C",'Mapa final'!$Q$24),"")</f>
        <v/>
      </c>
      <c r="AJ48" s="56" t="str">
        <f>IF(AND('Mapa final'!$AA$25="Muy Baja",'Mapa final'!$AC$25="Catastrófico"),CONCATENATE("R3C",'Mapa final'!$Q$25),"")</f>
        <v/>
      </c>
      <c r="AK48" s="56" t="str">
        <f>IF(AND('Mapa final'!$AA$26="Muy Baja",'Mapa final'!$AC$26="Catastrófico"),CONCATENATE("R3C",'Mapa final'!$Q$26),"")</f>
        <v/>
      </c>
      <c r="AL48" s="56" t="str">
        <f>IF(AND('Mapa final'!$AA$27="Muy Baja",'Mapa final'!$AC$27="Catastrófico"),CONCATENATE("R3C",'Mapa final'!$Q$27),"")</f>
        <v/>
      </c>
      <c r="AM48" s="57" t="str">
        <f>IF(AND('Mapa final'!$AA$28="Muy Baja",'Mapa final'!$AC$28="Catastrófico"),CONCATENATE("R3C",'Mapa final'!$Q$28),"")</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3">
      <c r="A49" s="84"/>
      <c r="B49" s="313"/>
      <c r="C49" s="313"/>
      <c r="D49" s="314"/>
      <c r="E49" s="354"/>
      <c r="F49" s="355"/>
      <c r="G49" s="355"/>
      <c r="H49" s="355"/>
      <c r="I49" s="356"/>
      <c r="J49" s="77" t="str">
        <f>IF(AND('Mapa final'!$AA$29="Muy Baja",'Mapa final'!$AC$29="Leve"),CONCATENATE("R4C",'Mapa final'!$Q$29),"")</f>
        <v/>
      </c>
      <c r="K49" s="78" t="str">
        <f>IF(AND('Mapa final'!$AA$30="Muy Baja",'Mapa final'!$AC$30="Leve"),CONCATENATE("R4C",'Mapa final'!$Q$30),"")</f>
        <v/>
      </c>
      <c r="L49" s="78" t="str">
        <f>IF(AND('Mapa final'!$AA$31="Muy Baja",'Mapa final'!$AC$31="Leve"),CONCATENATE("R4C",'Mapa final'!$Q$31),"")</f>
        <v/>
      </c>
      <c r="M49" s="78" t="str">
        <f>IF(AND('Mapa final'!$AA$32="Muy Baja",'Mapa final'!$AC$32="Leve"),CONCATENATE("R4C",'Mapa final'!$Q$32),"")</f>
        <v/>
      </c>
      <c r="N49" s="78" t="str">
        <f>IF(AND('Mapa final'!$AA$33="Muy Baja",'Mapa final'!$AC$33="Leve"),CONCATENATE("R4C",'Mapa final'!$Q$33),"")</f>
        <v/>
      </c>
      <c r="O49" s="79" t="str">
        <f>IF(AND('Mapa final'!$AA$34="Muy Baja",'Mapa final'!$AC$34="Leve"),CONCATENATE("R4C",'Mapa final'!$Q$34),"")</f>
        <v/>
      </c>
      <c r="P49" s="77" t="str">
        <f>IF(AND('Mapa final'!$AA$29="Muy Baja",'Mapa final'!$AC$29="Menor"),CONCATENATE("R4C",'Mapa final'!$Q$29),"")</f>
        <v/>
      </c>
      <c r="Q49" s="78" t="str">
        <f>IF(AND('Mapa final'!$AA$30="Muy Baja",'Mapa final'!$AC$30="Menor"),CONCATENATE("R4C",'Mapa final'!$Q$30),"")</f>
        <v/>
      </c>
      <c r="R49" s="78" t="str">
        <f>IF(AND('Mapa final'!$AA$31="Muy Baja",'Mapa final'!$AC$31="Menor"),CONCATENATE("R4C",'Mapa final'!$Q$31),"")</f>
        <v/>
      </c>
      <c r="S49" s="78" t="str">
        <f>IF(AND('Mapa final'!$AA$32="Muy Baja",'Mapa final'!$AC$32="Menor"),CONCATENATE("R4C",'Mapa final'!$Q$32),"")</f>
        <v/>
      </c>
      <c r="T49" s="78" t="str">
        <f>IF(AND('Mapa final'!$AA$33="Muy Baja",'Mapa final'!$AC$33="Menor"),CONCATENATE("R4C",'Mapa final'!$Q$33),"")</f>
        <v/>
      </c>
      <c r="U49" s="79" t="str">
        <f>IF(AND('Mapa final'!$AA$34="Muy Baja",'Mapa final'!$AC$34="Menor"),CONCATENATE("R4C",'Mapa final'!$Q$34),"")</f>
        <v/>
      </c>
      <c r="V49" s="68" t="str">
        <f>IF(AND('Mapa final'!$AA$29="Muy Baja",'Mapa final'!$AC$29="Moderado"),CONCATENATE("R4C",'Mapa final'!$Q$29),"")</f>
        <v/>
      </c>
      <c r="W49" s="69" t="str">
        <f>IF(AND('Mapa final'!$AA$30="Muy Baja",'Mapa final'!$AC$30="Moderado"),CONCATENATE("R4C",'Mapa final'!$Q$30),"")</f>
        <v/>
      </c>
      <c r="X49" s="69" t="str">
        <f>IF(AND('Mapa final'!$AA$31="Muy Baja",'Mapa final'!$AC$31="Moderado"),CONCATENATE("R4C",'Mapa final'!$Q$31),"")</f>
        <v/>
      </c>
      <c r="Y49" s="69" t="str">
        <f>IF(AND('Mapa final'!$AA$32="Muy Baja",'Mapa final'!$AC$32="Moderado"),CONCATENATE("R4C",'Mapa final'!$Q$32),"")</f>
        <v/>
      </c>
      <c r="Z49" s="69" t="str">
        <f>IF(AND('Mapa final'!$AA$33="Muy Baja",'Mapa final'!$AC$33="Moderado"),CONCATENATE("R4C",'Mapa final'!$Q$33),"")</f>
        <v/>
      </c>
      <c r="AA49" s="70" t="str">
        <f>IF(AND('Mapa final'!$AA$34="Muy Baja",'Mapa final'!$AC$34="Moderado"),CONCATENATE("R4C",'Mapa final'!$Q$34),"")</f>
        <v/>
      </c>
      <c r="AB49" s="52" t="str">
        <f>IF(AND('Mapa final'!$AA$29="Muy Baja",'Mapa final'!$AC$29="Mayor"),CONCATENATE("R4C",'Mapa final'!$Q$29),"")</f>
        <v/>
      </c>
      <c r="AC49" s="53" t="str">
        <f>IF(AND('Mapa final'!$AA$30="Muy Baja",'Mapa final'!$AC$30="Mayor"),CONCATENATE("R4C",'Mapa final'!$Q$30),"")</f>
        <v/>
      </c>
      <c r="AD49" s="53" t="str">
        <f>IF(AND('Mapa final'!$AA$31="Muy Baja",'Mapa final'!$AC$31="Mayor"),CONCATENATE("R4C",'Mapa final'!$Q$31),"")</f>
        <v/>
      </c>
      <c r="AE49" s="53" t="str">
        <f>IF(AND('Mapa final'!$AA$32="Muy Baja",'Mapa final'!$AC$32="Mayor"),CONCATENATE("R4C",'Mapa final'!$Q$32),"")</f>
        <v/>
      </c>
      <c r="AF49" s="53" t="str">
        <f>IF(AND('Mapa final'!$AA$33="Muy Baja",'Mapa final'!$AC$33="Mayor"),CONCATENATE("R4C",'Mapa final'!$Q$33),"")</f>
        <v/>
      </c>
      <c r="AG49" s="54" t="str">
        <f>IF(AND('Mapa final'!$AA$34="Muy Baja",'Mapa final'!$AC$34="Mayor"),CONCATENATE("R4C",'Mapa final'!$Q$34),"")</f>
        <v/>
      </c>
      <c r="AH49" s="55" t="str">
        <f>IF(AND('Mapa final'!$AA$29="Muy Baja",'Mapa final'!$AC$29="Catastrófico"),CONCATENATE("R4C",'Mapa final'!$Q$29),"")</f>
        <v/>
      </c>
      <c r="AI49" s="56" t="str">
        <f>IF(AND('Mapa final'!$AA$30="Muy Baja",'Mapa final'!$AC$30="Catastrófico"),CONCATENATE("R4C",'Mapa final'!$Q$30),"")</f>
        <v/>
      </c>
      <c r="AJ49" s="56" t="str">
        <f>IF(AND('Mapa final'!$AA$31="Muy Baja",'Mapa final'!$AC$31="Catastrófico"),CONCATENATE("R4C",'Mapa final'!$Q$31),"")</f>
        <v/>
      </c>
      <c r="AK49" s="56" t="str">
        <f>IF(AND('Mapa final'!$AA$32="Muy Baja",'Mapa final'!$AC$32="Catastrófico"),CONCATENATE("R4C",'Mapa final'!$Q$32),"")</f>
        <v/>
      </c>
      <c r="AL49" s="56" t="str">
        <f>IF(AND('Mapa final'!$AA$33="Muy Baja",'Mapa final'!$AC$33="Catastrófico"),CONCATENATE("R4C",'Mapa final'!$Q$33),"")</f>
        <v/>
      </c>
      <c r="AM49" s="57" t="str">
        <f>IF(AND('Mapa final'!$AA$34="Muy Baja",'Mapa final'!$AC$34="Catastrófico"),CONCATENATE("R4C",'Mapa final'!$Q$34),"")</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3">
      <c r="A50" s="84"/>
      <c r="B50" s="313"/>
      <c r="C50" s="313"/>
      <c r="D50" s="314"/>
      <c r="E50" s="354"/>
      <c r="F50" s="355"/>
      <c r="G50" s="355"/>
      <c r="H50" s="355"/>
      <c r="I50" s="356"/>
      <c r="J50" s="77" t="str">
        <f>IF(AND('Mapa final'!$AA$35="Muy Baja",'Mapa final'!$AC$35="Leve"),CONCATENATE("R5C",'Mapa final'!$Q$35),"")</f>
        <v/>
      </c>
      <c r="K50" s="78" t="str">
        <f>IF(AND('Mapa final'!$AA$36="Muy Baja",'Mapa final'!$AC$36="Leve"),CONCATENATE("R5C",'Mapa final'!$Q$36),"")</f>
        <v/>
      </c>
      <c r="L50" s="78" t="str">
        <f>IF(AND('Mapa final'!$AA$37="Muy Baja",'Mapa final'!$AC$37="Leve"),CONCATENATE("R5C",'Mapa final'!$Q$37),"")</f>
        <v/>
      </c>
      <c r="M50" s="78" t="str">
        <f>IF(AND('Mapa final'!$AA$38="Muy Baja",'Mapa final'!$AC$38="Leve"),CONCATENATE("R5C",'Mapa final'!$Q$38),"")</f>
        <v/>
      </c>
      <c r="N50" s="78" t="str">
        <f>IF(AND('Mapa final'!$AA$39="Muy Baja",'Mapa final'!$AC$39="Leve"),CONCATENATE("R5C",'Mapa final'!$Q$39),"")</f>
        <v/>
      </c>
      <c r="O50" s="79" t="str">
        <f>IF(AND('Mapa final'!$AA$40="Muy Baja",'Mapa final'!$AC$40="Leve"),CONCATENATE("R5C",'Mapa final'!$Q$40),"")</f>
        <v/>
      </c>
      <c r="P50" s="77" t="str">
        <f>IF(AND('Mapa final'!$AA$35="Muy Baja",'Mapa final'!$AC$35="Menor"),CONCATENATE("R5C",'Mapa final'!$Q$35),"")</f>
        <v/>
      </c>
      <c r="Q50" s="78" t="str">
        <f>IF(AND('Mapa final'!$AA$36="Muy Baja",'Mapa final'!$AC$36="Menor"),CONCATENATE("R5C",'Mapa final'!$Q$36),"")</f>
        <v/>
      </c>
      <c r="R50" s="78" t="str">
        <f>IF(AND('Mapa final'!$AA$37="Muy Baja",'Mapa final'!$AC$37="Menor"),CONCATENATE("R5C",'Mapa final'!$Q$37),"")</f>
        <v/>
      </c>
      <c r="S50" s="78" t="str">
        <f>IF(AND('Mapa final'!$AA$38="Muy Baja",'Mapa final'!$AC$38="Menor"),CONCATENATE("R5C",'Mapa final'!$Q$38),"")</f>
        <v/>
      </c>
      <c r="T50" s="78" t="str">
        <f>IF(AND('Mapa final'!$AA$39="Muy Baja",'Mapa final'!$AC$39="Menor"),CONCATENATE("R5C",'Mapa final'!$Q$39),"")</f>
        <v/>
      </c>
      <c r="U50" s="79" t="str">
        <f>IF(AND('Mapa final'!$AA$40="Muy Baja",'Mapa final'!$AC$40="Menor"),CONCATENATE("R5C",'Mapa final'!$Q$40),"")</f>
        <v/>
      </c>
      <c r="V50" s="68" t="str">
        <f>IF(AND('Mapa final'!$AA$35="Muy Baja",'Mapa final'!$AC$35="Moderado"),CONCATENATE("R5C",'Mapa final'!$Q$35),"")</f>
        <v/>
      </c>
      <c r="W50" s="69" t="str">
        <f>IF(AND('Mapa final'!$AA$36="Muy Baja",'Mapa final'!$AC$36="Moderado"),CONCATENATE("R5C",'Mapa final'!$Q$36),"")</f>
        <v/>
      </c>
      <c r="X50" s="69" t="str">
        <f>IF(AND('Mapa final'!$AA$37="Muy Baja",'Mapa final'!$AC$37="Moderado"),CONCATENATE("R5C",'Mapa final'!$Q$37),"")</f>
        <v/>
      </c>
      <c r="Y50" s="69" t="str">
        <f>IF(AND('Mapa final'!$AA$38="Muy Baja",'Mapa final'!$AC$38="Moderado"),CONCATENATE("R5C",'Mapa final'!$Q$38),"")</f>
        <v/>
      </c>
      <c r="Z50" s="69" t="str">
        <f>IF(AND('Mapa final'!$AA$39="Muy Baja",'Mapa final'!$AC$39="Moderado"),CONCATENATE("R5C",'Mapa final'!$Q$39),"")</f>
        <v/>
      </c>
      <c r="AA50" s="70" t="str">
        <f>IF(AND('Mapa final'!$AA$40="Muy Baja",'Mapa final'!$AC$40="Moderado"),CONCATENATE("R5C",'Mapa final'!$Q$40),"")</f>
        <v/>
      </c>
      <c r="AB50" s="52" t="str">
        <f>IF(AND('Mapa final'!$AA$35="Muy Baja",'Mapa final'!$AC$35="Mayor"),CONCATENATE("R5C",'Mapa final'!$Q$35),"")</f>
        <v/>
      </c>
      <c r="AC50" s="53" t="str">
        <f>IF(AND('Mapa final'!$AA$36="Muy Baja",'Mapa final'!$AC$36="Mayor"),CONCATENATE("R5C",'Mapa final'!$Q$36),"")</f>
        <v/>
      </c>
      <c r="AD50" s="58" t="str">
        <f>IF(AND('Mapa final'!$AA$37="Muy Baja",'Mapa final'!$AC$37="Mayor"),CONCATENATE("R5C",'Mapa final'!$Q$37),"")</f>
        <v/>
      </c>
      <c r="AE50" s="58" t="str">
        <f>IF(AND('Mapa final'!$AA$38="Muy Baja",'Mapa final'!$AC$38="Mayor"),CONCATENATE("R5C",'Mapa final'!$Q$38),"")</f>
        <v/>
      </c>
      <c r="AF50" s="58" t="str">
        <f>IF(AND('Mapa final'!$AA$39="Muy Baja",'Mapa final'!$AC$39="Mayor"),CONCATENATE("R5C",'Mapa final'!$Q$39),"")</f>
        <v/>
      </c>
      <c r="AG50" s="54" t="str">
        <f>IF(AND('Mapa final'!$AA$40="Muy Baja",'Mapa final'!$AC$40="Mayor"),CONCATENATE("R5C",'Mapa final'!$Q$40),"")</f>
        <v/>
      </c>
      <c r="AH50" s="55" t="str">
        <f>IF(AND('Mapa final'!$AA$35="Muy Baja",'Mapa final'!$AC$35="Catastrófico"),CONCATENATE("R5C",'Mapa final'!$Q$35),"")</f>
        <v/>
      </c>
      <c r="AI50" s="56" t="str">
        <f>IF(AND('Mapa final'!$AA$36="Muy Baja",'Mapa final'!$AC$36="Catastrófico"),CONCATENATE("R5C",'Mapa final'!$Q$36),"")</f>
        <v/>
      </c>
      <c r="AJ50" s="56" t="str">
        <f>IF(AND('Mapa final'!$AA$37="Muy Baja",'Mapa final'!$AC$37="Catastrófico"),CONCATENATE("R5C",'Mapa final'!$Q$37),"")</f>
        <v/>
      </c>
      <c r="AK50" s="56" t="str">
        <f>IF(AND('Mapa final'!$AA$38="Muy Baja",'Mapa final'!$AC$38="Catastrófico"),CONCATENATE("R5C",'Mapa final'!$Q$38),"")</f>
        <v/>
      </c>
      <c r="AL50" s="56" t="str">
        <f>IF(AND('Mapa final'!$AA$39="Muy Baja",'Mapa final'!$AC$39="Catastrófico"),CONCATENATE("R5C",'Mapa final'!$Q$39),"")</f>
        <v/>
      </c>
      <c r="AM50" s="57" t="str">
        <f>IF(AND('Mapa final'!$AA$40="Muy Baja",'Mapa final'!$AC$40="Catastrófico"),CONCATENATE("R5C",'Mapa final'!$Q$40),"")</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3">
      <c r="A51" s="84"/>
      <c r="B51" s="313"/>
      <c r="C51" s="313"/>
      <c r="D51" s="314"/>
      <c r="E51" s="354"/>
      <c r="F51" s="355"/>
      <c r="G51" s="355"/>
      <c r="H51" s="355"/>
      <c r="I51" s="356"/>
      <c r="J51" s="77" t="str">
        <f>IF(AND('Mapa final'!$AA$41="Muy Baja",'Mapa final'!$AC$41="Leve"),CONCATENATE("R6C",'Mapa final'!$Q$41),"")</f>
        <v/>
      </c>
      <c r="K51" s="78" t="str">
        <f>IF(AND('Mapa final'!$AA$42="Muy Baja",'Mapa final'!$AC$42="Leve"),CONCATENATE("R6C",'Mapa final'!$Q$42),"")</f>
        <v/>
      </c>
      <c r="L51" s="78" t="str">
        <f>IF(AND('Mapa final'!$AA$43="Muy Baja",'Mapa final'!$AC$43="Leve"),CONCATENATE("R6C",'Mapa final'!$Q$43),"")</f>
        <v/>
      </c>
      <c r="M51" s="78" t="str">
        <f>IF(AND('Mapa final'!$AA$44="Muy Baja",'Mapa final'!$AC$44="Leve"),CONCATENATE("R6C",'Mapa final'!$Q$44),"")</f>
        <v/>
      </c>
      <c r="N51" s="78" t="str">
        <f>IF(AND('Mapa final'!$AA$45="Muy Baja",'Mapa final'!$AC$45="Leve"),CONCATENATE("R6C",'Mapa final'!$Q$45),"")</f>
        <v/>
      </c>
      <c r="O51" s="79" t="str">
        <f>IF(AND('Mapa final'!$AA$46="Muy Baja",'Mapa final'!$AC$46="Leve"),CONCATENATE("R6C",'Mapa final'!$Q$46),"")</f>
        <v/>
      </c>
      <c r="P51" s="77" t="str">
        <f>IF(AND('Mapa final'!$AA$41="Muy Baja",'Mapa final'!$AC$41="Menor"),CONCATENATE("R6C",'Mapa final'!$Q$41),"")</f>
        <v/>
      </c>
      <c r="Q51" s="78" t="str">
        <f>IF(AND('Mapa final'!$AA$42="Muy Baja",'Mapa final'!$AC$42="Menor"),CONCATENATE("R6C",'Mapa final'!$Q$42),"")</f>
        <v/>
      </c>
      <c r="R51" s="78" t="str">
        <f>IF(AND('Mapa final'!$AA$43="Muy Baja",'Mapa final'!$AC$43="Menor"),CONCATENATE("R6C",'Mapa final'!$Q$43),"")</f>
        <v/>
      </c>
      <c r="S51" s="78" t="str">
        <f>IF(AND('Mapa final'!$AA$44="Muy Baja",'Mapa final'!$AC$44="Menor"),CONCATENATE("R6C",'Mapa final'!$Q$44),"")</f>
        <v/>
      </c>
      <c r="T51" s="78" t="str">
        <f>IF(AND('Mapa final'!$AA$45="Muy Baja",'Mapa final'!$AC$45="Menor"),CONCATENATE("R6C",'Mapa final'!$Q$45),"")</f>
        <v/>
      </c>
      <c r="U51" s="79" t="str">
        <f>IF(AND('Mapa final'!$AA$46="Muy Baja",'Mapa final'!$AC$46="Menor"),CONCATENATE("R6C",'Mapa final'!$Q$46),"")</f>
        <v/>
      </c>
      <c r="V51" s="68" t="str">
        <f>IF(AND('Mapa final'!$AA$41="Muy Baja",'Mapa final'!$AC$41="Moderado"),CONCATENATE("R6C",'Mapa final'!$Q$41),"")</f>
        <v/>
      </c>
      <c r="W51" s="69" t="str">
        <f>IF(AND('Mapa final'!$AA$42="Muy Baja",'Mapa final'!$AC$42="Moderado"),CONCATENATE("R6C",'Mapa final'!$Q$42),"")</f>
        <v/>
      </c>
      <c r="X51" s="69" t="str">
        <f>IF(AND('Mapa final'!$AA$43="Muy Baja",'Mapa final'!$AC$43="Moderado"),CONCATENATE("R6C",'Mapa final'!$Q$43),"")</f>
        <v/>
      </c>
      <c r="Y51" s="69" t="str">
        <f>IF(AND('Mapa final'!$AA$44="Muy Baja",'Mapa final'!$AC$44="Moderado"),CONCATENATE("R6C",'Mapa final'!$Q$44),"")</f>
        <v/>
      </c>
      <c r="Z51" s="69" t="str">
        <f>IF(AND('Mapa final'!$AA$45="Muy Baja",'Mapa final'!$AC$45="Moderado"),CONCATENATE("R6C",'Mapa final'!$Q$45),"")</f>
        <v/>
      </c>
      <c r="AA51" s="70" t="str">
        <f>IF(AND('Mapa final'!$AA$46="Muy Baja",'Mapa final'!$AC$46="Moderado"),CONCATENATE("R6C",'Mapa final'!$Q$46),"")</f>
        <v/>
      </c>
      <c r="AB51" s="52" t="str">
        <f>IF(AND('Mapa final'!$AA$41="Muy Baja",'Mapa final'!$AC$41="Mayor"),CONCATENATE("R6C",'Mapa final'!$Q$41),"")</f>
        <v/>
      </c>
      <c r="AC51" s="53" t="str">
        <f>IF(AND('Mapa final'!$AA$42="Muy Baja",'Mapa final'!$AC$42="Mayor"),CONCATENATE("R6C",'Mapa final'!$Q$42),"")</f>
        <v/>
      </c>
      <c r="AD51" s="58" t="str">
        <f>IF(AND('Mapa final'!$AA$43="Muy Baja",'Mapa final'!$AC$43="Mayor"),CONCATENATE("R6C",'Mapa final'!$Q$43),"")</f>
        <v/>
      </c>
      <c r="AE51" s="58" t="str">
        <f>IF(AND('Mapa final'!$AA$44="Muy Baja",'Mapa final'!$AC$44="Mayor"),CONCATENATE("R6C",'Mapa final'!$Q$44),"")</f>
        <v/>
      </c>
      <c r="AF51" s="58" t="str">
        <f>IF(AND('Mapa final'!$AA$45="Muy Baja",'Mapa final'!$AC$45="Mayor"),CONCATENATE("R6C",'Mapa final'!$Q$45),"")</f>
        <v/>
      </c>
      <c r="AG51" s="54" t="str">
        <f>IF(AND('Mapa final'!$AA$46="Muy Baja",'Mapa final'!$AC$46="Mayor"),CONCATENATE("R6C",'Mapa final'!$Q$46),"")</f>
        <v/>
      </c>
      <c r="AH51" s="55" t="str">
        <f>IF(AND('Mapa final'!$AA$41="Muy Baja",'Mapa final'!$AC$41="Catastrófico"),CONCATENATE("R6C",'Mapa final'!$Q$41),"")</f>
        <v/>
      </c>
      <c r="AI51" s="56" t="str">
        <f>IF(AND('Mapa final'!$AA$42="Muy Baja",'Mapa final'!$AC$42="Catastrófico"),CONCATENATE("R6C",'Mapa final'!$Q$42),"")</f>
        <v/>
      </c>
      <c r="AJ51" s="56" t="str">
        <f>IF(AND('Mapa final'!$AA$43="Muy Baja",'Mapa final'!$AC$43="Catastrófico"),CONCATENATE("R6C",'Mapa final'!$Q$43),"")</f>
        <v/>
      </c>
      <c r="AK51" s="56" t="str">
        <f>IF(AND('Mapa final'!$AA$44="Muy Baja",'Mapa final'!$AC$44="Catastrófico"),CONCATENATE("R6C",'Mapa final'!$Q$44),"")</f>
        <v/>
      </c>
      <c r="AL51" s="56" t="str">
        <f>IF(AND('Mapa final'!$AA$45="Muy Baja",'Mapa final'!$AC$45="Catastrófico"),CONCATENATE("R6C",'Mapa final'!$Q$45),"")</f>
        <v/>
      </c>
      <c r="AM51" s="57" t="str">
        <f>IF(AND('Mapa final'!$AA$46="Muy Baja",'Mapa final'!$AC$46="Catastrófico"),CONCATENATE("R6C",'Mapa final'!$Q$46),"")</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3">
      <c r="A52" s="84"/>
      <c r="B52" s="313"/>
      <c r="C52" s="313"/>
      <c r="D52" s="314"/>
      <c r="E52" s="354"/>
      <c r="F52" s="355"/>
      <c r="G52" s="355"/>
      <c r="H52" s="355"/>
      <c r="I52" s="356"/>
      <c r="J52" s="77" t="str">
        <f>IF(AND('Mapa final'!$AA$47="Muy Baja",'Mapa final'!$AC$47="Leve"),CONCATENATE("R7C",'Mapa final'!$Q$47),"")</f>
        <v/>
      </c>
      <c r="K52" s="78" t="str">
        <f>IF(AND('Mapa final'!$AA$48="Muy Baja",'Mapa final'!$AC$48="Leve"),CONCATENATE("R7C",'Mapa final'!$Q$48),"")</f>
        <v/>
      </c>
      <c r="L52" s="78" t="str">
        <f>IF(AND('Mapa final'!$AA$49="Muy Baja",'Mapa final'!$AC$49="Leve"),CONCATENATE("R7C",'Mapa final'!$Q$49),"")</f>
        <v/>
      </c>
      <c r="M52" s="78" t="str">
        <f>IF(AND('Mapa final'!$AA$50="Muy Baja",'Mapa final'!$AC$50="Leve"),CONCATENATE("R7C",'Mapa final'!$Q$50),"")</f>
        <v/>
      </c>
      <c r="N52" s="78" t="str">
        <f>IF(AND('Mapa final'!$AA$51="Muy Baja",'Mapa final'!$AC$51="Leve"),CONCATENATE("R7C",'Mapa final'!$Q$51),"")</f>
        <v/>
      </c>
      <c r="O52" s="79" t="str">
        <f>IF(AND('Mapa final'!$AA$52="Muy Baja",'Mapa final'!$AC$52="Leve"),CONCATENATE("R7C",'Mapa final'!$Q$52),"")</f>
        <v/>
      </c>
      <c r="P52" s="77" t="str">
        <f>IF(AND('Mapa final'!$AA$47="Muy Baja",'Mapa final'!$AC$47="Menor"),CONCATENATE("R7C",'Mapa final'!$Q$47),"")</f>
        <v/>
      </c>
      <c r="Q52" s="78" t="str">
        <f>IF(AND('Mapa final'!$AA$48="Muy Baja",'Mapa final'!$AC$48="Menor"),CONCATENATE("R7C",'Mapa final'!$Q$48),"")</f>
        <v/>
      </c>
      <c r="R52" s="78" t="str">
        <f>IF(AND('Mapa final'!$AA$49="Muy Baja",'Mapa final'!$AC$49="Menor"),CONCATENATE("R7C",'Mapa final'!$Q$49),"")</f>
        <v/>
      </c>
      <c r="S52" s="78" t="str">
        <f>IF(AND('Mapa final'!$AA$50="Muy Baja",'Mapa final'!$AC$50="Menor"),CONCATENATE("R7C",'Mapa final'!$Q$50),"")</f>
        <v/>
      </c>
      <c r="T52" s="78" t="str">
        <f>IF(AND('Mapa final'!$AA$51="Muy Baja",'Mapa final'!$AC$51="Menor"),CONCATENATE("R7C",'Mapa final'!$Q$51),"")</f>
        <v/>
      </c>
      <c r="U52" s="79" t="str">
        <f>IF(AND('Mapa final'!$AA$52="Muy Baja",'Mapa final'!$AC$52="Menor"),CONCATENATE("R7C",'Mapa final'!$Q$52),"")</f>
        <v/>
      </c>
      <c r="V52" s="68" t="str">
        <f>IF(AND('Mapa final'!$AA$47="Muy Baja",'Mapa final'!$AC$47="Moderado"),CONCATENATE("R7C",'Mapa final'!$Q$47),"")</f>
        <v/>
      </c>
      <c r="W52" s="69" t="str">
        <f>IF(AND('Mapa final'!$AA$48="Muy Baja",'Mapa final'!$AC$48="Moderado"),CONCATENATE("R7C",'Mapa final'!$Q$48),"")</f>
        <v/>
      </c>
      <c r="X52" s="69" t="str">
        <f>IF(AND('Mapa final'!$AA$49="Muy Baja",'Mapa final'!$AC$49="Moderado"),CONCATENATE("R7C",'Mapa final'!$Q$49),"")</f>
        <v/>
      </c>
      <c r="Y52" s="69" t="str">
        <f>IF(AND('Mapa final'!$AA$50="Muy Baja",'Mapa final'!$AC$50="Moderado"),CONCATENATE("R7C",'Mapa final'!$Q$50),"")</f>
        <v/>
      </c>
      <c r="Z52" s="69" t="str">
        <f>IF(AND('Mapa final'!$AA$51="Muy Baja",'Mapa final'!$AC$51="Moderado"),CONCATENATE("R7C",'Mapa final'!$Q$51),"")</f>
        <v/>
      </c>
      <c r="AA52" s="70" t="str">
        <f>IF(AND('Mapa final'!$AA$52="Muy Baja",'Mapa final'!$AC$52="Moderado"),CONCATENATE("R7C",'Mapa final'!$Q$52),"")</f>
        <v/>
      </c>
      <c r="AB52" s="52" t="str">
        <f>IF(AND('Mapa final'!$AA$47="Muy Baja",'Mapa final'!$AC$47="Mayor"),CONCATENATE("R7C",'Mapa final'!$Q$47),"")</f>
        <v/>
      </c>
      <c r="AC52" s="53" t="str">
        <f>IF(AND('Mapa final'!$AA$48="Muy Baja",'Mapa final'!$AC$48="Mayor"),CONCATENATE("R7C",'Mapa final'!$Q$48),"")</f>
        <v/>
      </c>
      <c r="AD52" s="58" t="str">
        <f>IF(AND('Mapa final'!$AA$49="Muy Baja",'Mapa final'!$AC$49="Mayor"),CONCATENATE("R7C",'Mapa final'!$Q$49),"")</f>
        <v/>
      </c>
      <c r="AE52" s="58" t="str">
        <f>IF(AND('Mapa final'!$AA$50="Muy Baja",'Mapa final'!$AC$50="Mayor"),CONCATENATE("R7C",'Mapa final'!$Q$50),"")</f>
        <v/>
      </c>
      <c r="AF52" s="58" t="str">
        <f>IF(AND('Mapa final'!$AA$51="Muy Baja",'Mapa final'!$AC$51="Mayor"),CONCATENATE("R7C",'Mapa final'!$Q$51),"")</f>
        <v/>
      </c>
      <c r="AG52" s="54" t="str">
        <f>IF(AND('Mapa final'!$AA$52="Muy Baja",'Mapa final'!$AC$52="Mayor"),CONCATENATE("R7C",'Mapa final'!$Q$52),"")</f>
        <v/>
      </c>
      <c r="AH52" s="55" t="str">
        <f>IF(AND('Mapa final'!$AA$47="Muy Baja",'Mapa final'!$AC$47="Catastrófico"),CONCATENATE("R7C",'Mapa final'!$Q$47),"")</f>
        <v/>
      </c>
      <c r="AI52" s="56" t="str">
        <f>IF(AND('Mapa final'!$AA$48="Muy Baja",'Mapa final'!$AC$48="Catastrófico"),CONCATENATE("R7C",'Mapa final'!$Q$48),"")</f>
        <v/>
      </c>
      <c r="AJ52" s="56" t="str">
        <f>IF(AND('Mapa final'!$AA$49="Muy Baja",'Mapa final'!$AC$49="Catastrófico"),CONCATENATE("R7C",'Mapa final'!$Q$49),"")</f>
        <v/>
      </c>
      <c r="AK52" s="56" t="str">
        <f>IF(AND('Mapa final'!$AA$50="Muy Baja",'Mapa final'!$AC$50="Catastrófico"),CONCATENATE("R7C",'Mapa final'!$Q$50),"")</f>
        <v/>
      </c>
      <c r="AL52" s="56" t="str">
        <f>IF(AND('Mapa final'!$AA$51="Muy Baja",'Mapa final'!$AC$51="Catastrófico"),CONCATENATE("R7C",'Mapa final'!$Q$51),"")</f>
        <v/>
      </c>
      <c r="AM52" s="57" t="str">
        <f>IF(AND('Mapa final'!$AA$52="Muy Baja",'Mapa final'!$AC$52="Catastrófico"),CONCATENATE("R7C",'Mapa final'!$Q$52),"")</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3">
      <c r="A53" s="84"/>
      <c r="B53" s="313"/>
      <c r="C53" s="313"/>
      <c r="D53" s="314"/>
      <c r="E53" s="354"/>
      <c r="F53" s="355"/>
      <c r="G53" s="355"/>
      <c r="H53" s="355"/>
      <c r="I53" s="356"/>
      <c r="J53" s="77" t="str">
        <f>IF(AND('Mapa final'!$AA$53="Muy Baja",'Mapa final'!$AC$53="Leve"),CONCATENATE("R8C",'Mapa final'!$Q$53),"")</f>
        <v/>
      </c>
      <c r="K53" s="78" t="str">
        <f>IF(AND('Mapa final'!$AA$54="Muy Baja",'Mapa final'!$AC$54="Leve"),CONCATENATE("R8C",'Mapa final'!$Q$54),"")</f>
        <v/>
      </c>
      <c r="L53" s="78" t="str">
        <f>IF(AND('Mapa final'!$AA$55="Muy Baja",'Mapa final'!$AC$55="Leve"),CONCATENATE("R8C",'Mapa final'!$Q$55),"")</f>
        <v/>
      </c>
      <c r="M53" s="78" t="str">
        <f>IF(AND('Mapa final'!$AA$56="Muy Baja",'Mapa final'!$AC$56="Leve"),CONCATENATE("R8C",'Mapa final'!$Q$56),"")</f>
        <v/>
      </c>
      <c r="N53" s="78" t="str">
        <f>IF(AND('Mapa final'!$AA$57="Muy Baja",'Mapa final'!$AC$57="Leve"),CONCATENATE("R8C",'Mapa final'!$Q$57),"")</f>
        <v/>
      </c>
      <c r="O53" s="79" t="str">
        <f>IF(AND('Mapa final'!$AA$58="Muy Baja",'Mapa final'!$AC$58="Leve"),CONCATENATE("R8C",'Mapa final'!$Q$58),"")</f>
        <v/>
      </c>
      <c r="P53" s="77" t="str">
        <f>IF(AND('Mapa final'!$AA$53="Muy Baja",'Mapa final'!$AC$53="Menor"),CONCATENATE("R8C",'Mapa final'!$Q$53),"")</f>
        <v/>
      </c>
      <c r="Q53" s="78" t="str">
        <f>IF(AND('Mapa final'!$AA$54="Muy Baja",'Mapa final'!$AC$54="Menor"),CONCATENATE("R8C",'Mapa final'!$Q$54),"")</f>
        <v/>
      </c>
      <c r="R53" s="78" t="str">
        <f>IF(AND('Mapa final'!$AA$55="Muy Baja",'Mapa final'!$AC$55="Menor"),CONCATENATE("R8C",'Mapa final'!$Q$55),"")</f>
        <v/>
      </c>
      <c r="S53" s="78" t="str">
        <f>IF(AND('Mapa final'!$AA$56="Muy Baja",'Mapa final'!$AC$56="Menor"),CONCATENATE("R8C",'Mapa final'!$Q$56),"")</f>
        <v/>
      </c>
      <c r="T53" s="78" t="str">
        <f>IF(AND('Mapa final'!$AA$57="Muy Baja",'Mapa final'!$AC$57="Menor"),CONCATENATE("R8C",'Mapa final'!$Q$57),"")</f>
        <v/>
      </c>
      <c r="U53" s="79" t="str">
        <f>IF(AND('Mapa final'!$AA$58="Muy Baja",'Mapa final'!$AC$58="Menor"),CONCATENATE("R8C",'Mapa final'!$Q$58),"")</f>
        <v/>
      </c>
      <c r="V53" s="68" t="str">
        <f>IF(AND('Mapa final'!$AA$53="Muy Baja",'Mapa final'!$AC$53="Moderado"),CONCATENATE("R8C",'Mapa final'!$Q$53),"")</f>
        <v/>
      </c>
      <c r="W53" s="69" t="str">
        <f>IF(AND('Mapa final'!$AA$54="Muy Baja",'Mapa final'!$AC$54="Moderado"),CONCATENATE("R8C",'Mapa final'!$Q$54),"")</f>
        <v/>
      </c>
      <c r="X53" s="69" t="str">
        <f>IF(AND('Mapa final'!$AA$55="Muy Baja",'Mapa final'!$AC$55="Moderado"),CONCATENATE("R8C",'Mapa final'!$Q$55),"")</f>
        <v/>
      </c>
      <c r="Y53" s="69" t="str">
        <f>IF(AND('Mapa final'!$AA$56="Muy Baja",'Mapa final'!$AC$56="Moderado"),CONCATENATE("R8C",'Mapa final'!$Q$56),"")</f>
        <v/>
      </c>
      <c r="Z53" s="69" t="str">
        <f>IF(AND('Mapa final'!$AA$57="Muy Baja",'Mapa final'!$AC$57="Moderado"),CONCATENATE("R8C",'Mapa final'!$Q$57),"")</f>
        <v/>
      </c>
      <c r="AA53" s="70" t="str">
        <f>IF(AND('Mapa final'!$AA$58="Muy Baja",'Mapa final'!$AC$58="Moderado"),CONCATENATE("R8C",'Mapa final'!$Q$58),"")</f>
        <v/>
      </c>
      <c r="AB53" s="52" t="str">
        <f>IF(AND('Mapa final'!$AA$53="Muy Baja",'Mapa final'!$AC$53="Mayor"),CONCATENATE("R8C",'Mapa final'!$Q$53),"")</f>
        <v/>
      </c>
      <c r="AC53" s="53" t="str">
        <f>IF(AND('Mapa final'!$AA$54="Muy Baja",'Mapa final'!$AC$54="Mayor"),CONCATENATE("R8C",'Mapa final'!$Q$54),"")</f>
        <v/>
      </c>
      <c r="AD53" s="58" t="str">
        <f>IF(AND('Mapa final'!$AA$55="Muy Baja",'Mapa final'!$AC$55="Mayor"),CONCATENATE("R8C",'Mapa final'!$Q$55),"")</f>
        <v/>
      </c>
      <c r="AE53" s="58" t="str">
        <f>IF(AND('Mapa final'!$AA$56="Muy Baja",'Mapa final'!$AC$56="Mayor"),CONCATENATE("R8C",'Mapa final'!$Q$56),"")</f>
        <v/>
      </c>
      <c r="AF53" s="58" t="str">
        <f>IF(AND('Mapa final'!$AA$57="Muy Baja",'Mapa final'!$AC$57="Mayor"),CONCATENATE("R8C",'Mapa final'!$Q$57),"")</f>
        <v/>
      </c>
      <c r="AG53" s="54" t="str">
        <f>IF(AND('Mapa final'!$AA$58="Muy Baja",'Mapa final'!$AC$58="Mayor"),CONCATENATE("R8C",'Mapa final'!$Q$58),"")</f>
        <v/>
      </c>
      <c r="AH53" s="55" t="str">
        <f>IF(AND('Mapa final'!$AA$53="Muy Baja",'Mapa final'!$AC$53="Catastrófico"),CONCATENATE("R8C",'Mapa final'!$Q$53),"")</f>
        <v/>
      </c>
      <c r="AI53" s="56" t="str">
        <f>IF(AND('Mapa final'!$AA$54="Muy Baja",'Mapa final'!$AC$54="Catastrófico"),CONCATENATE("R8C",'Mapa final'!$Q$54),"")</f>
        <v/>
      </c>
      <c r="AJ53" s="56" t="str">
        <f>IF(AND('Mapa final'!$AA$55="Muy Baja",'Mapa final'!$AC$55="Catastrófico"),CONCATENATE("R8C",'Mapa final'!$Q$55),"")</f>
        <v/>
      </c>
      <c r="AK53" s="56" t="str">
        <f>IF(AND('Mapa final'!$AA$56="Muy Baja",'Mapa final'!$AC$56="Catastrófico"),CONCATENATE("R8C",'Mapa final'!$Q$56),"")</f>
        <v/>
      </c>
      <c r="AL53" s="56" t="str">
        <f>IF(AND('Mapa final'!$AA$57="Muy Baja",'Mapa final'!$AC$57="Catastrófico"),CONCATENATE("R8C",'Mapa final'!$Q$57),"")</f>
        <v/>
      </c>
      <c r="AM53" s="57" t="str">
        <f>IF(AND('Mapa final'!$AA$58="Muy Baja",'Mapa final'!$AC$58="Catastrófico"),CONCATENATE("R8C",'Mapa final'!$Q$58),"")</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3">
      <c r="A54" s="84"/>
      <c r="B54" s="313"/>
      <c r="C54" s="313"/>
      <c r="D54" s="314"/>
      <c r="E54" s="354"/>
      <c r="F54" s="355"/>
      <c r="G54" s="355"/>
      <c r="H54" s="355"/>
      <c r="I54" s="356"/>
      <c r="J54" s="77" t="str">
        <f>IF(AND('Mapa final'!$AA$59="Muy Baja",'Mapa final'!$AC$59="Leve"),CONCATENATE("R9C",'Mapa final'!$Q$59),"")</f>
        <v/>
      </c>
      <c r="K54" s="78" t="str">
        <f>IF(AND('Mapa final'!$AA$60="Muy Baja",'Mapa final'!$AC$60="Leve"),CONCATENATE("R9C",'Mapa final'!$Q$60),"")</f>
        <v/>
      </c>
      <c r="L54" s="78" t="str">
        <f>IF(AND('Mapa final'!$AA$61="Muy Baja",'Mapa final'!$AC$61="Leve"),CONCATENATE("R9C",'Mapa final'!$Q$61),"")</f>
        <v/>
      </c>
      <c r="M54" s="78" t="str">
        <f>IF(AND('Mapa final'!$AA$62="Muy Baja",'Mapa final'!$AC$62="Leve"),CONCATENATE("R9C",'Mapa final'!$Q$62),"")</f>
        <v/>
      </c>
      <c r="N54" s="78" t="str">
        <f>IF(AND('Mapa final'!$AA$63="Muy Baja",'Mapa final'!$AC$63="Leve"),CONCATENATE("R9C",'Mapa final'!$Q$63),"")</f>
        <v/>
      </c>
      <c r="O54" s="79" t="str">
        <f>IF(AND('Mapa final'!$AA$64="Muy Baja",'Mapa final'!$AC$64="Leve"),CONCATENATE("R9C",'Mapa final'!$Q$64),"")</f>
        <v/>
      </c>
      <c r="P54" s="77" t="str">
        <f>IF(AND('Mapa final'!$AA$59="Muy Baja",'Mapa final'!$AC$59="Menor"),CONCATENATE("R9C",'Mapa final'!$Q$59),"")</f>
        <v/>
      </c>
      <c r="Q54" s="78" t="str">
        <f>IF(AND('Mapa final'!$AA$60="Muy Baja",'Mapa final'!$AC$60="Menor"),CONCATENATE("R9C",'Mapa final'!$Q$60),"")</f>
        <v/>
      </c>
      <c r="R54" s="78" t="str">
        <f>IF(AND('Mapa final'!$AA$61="Muy Baja",'Mapa final'!$AC$61="Menor"),CONCATENATE("R9C",'Mapa final'!$Q$61),"")</f>
        <v/>
      </c>
      <c r="S54" s="78" t="str">
        <f>IF(AND('Mapa final'!$AA$62="Muy Baja",'Mapa final'!$AC$62="Menor"),CONCATENATE("R9C",'Mapa final'!$Q$62),"")</f>
        <v/>
      </c>
      <c r="T54" s="78" t="str">
        <f>IF(AND('Mapa final'!$AA$63="Muy Baja",'Mapa final'!$AC$63="Menor"),CONCATENATE("R9C",'Mapa final'!$Q$63),"")</f>
        <v/>
      </c>
      <c r="U54" s="79" t="str">
        <f>IF(AND('Mapa final'!$AA$64="Muy Baja",'Mapa final'!$AC$64="Menor"),CONCATENATE("R9C",'Mapa final'!$Q$64),"")</f>
        <v/>
      </c>
      <c r="V54" s="68" t="str">
        <f>IF(AND('Mapa final'!$AA$59="Muy Baja",'Mapa final'!$AC$59="Moderado"),CONCATENATE("R9C",'Mapa final'!$Q$59),"")</f>
        <v/>
      </c>
      <c r="W54" s="69" t="str">
        <f>IF(AND('Mapa final'!$AA$60="Muy Baja",'Mapa final'!$AC$60="Moderado"),CONCATENATE("R9C",'Mapa final'!$Q$60),"")</f>
        <v/>
      </c>
      <c r="X54" s="69" t="str">
        <f>IF(AND('Mapa final'!$AA$61="Muy Baja",'Mapa final'!$AC$61="Moderado"),CONCATENATE("R9C",'Mapa final'!$Q$61),"")</f>
        <v/>
      </c>
      <c r="Y54" s="69" t="str">
        <f>IF(AND('Mapa final'!$AA$62="Muy Baja",'Mapa final'!$AC$62="Moderado"),CONCATENATE("R9C",'Mapa final'!$Q$62),"")</f>
        <v/>
      </c>
      <c r="Z54" s="69" t="str">
        <f>IF(AND('Mapa final'!$AA$63="Muy Baja",'Mapa final'!$AC$63="Moderado"),CONCATENATE("R9C",'Mapa final'!$Q$63),"")</f>
        <v/>
      </c>
      <c r="AA54" s="70" t="str">
        <f>IF(AND('Mapa final'!$AA$64="Muy Baja",'Mapa final'!$AC$64="Moderado"),CONCATENATE("R9C",'Mapa final'!$Q$64),"")</f>
        <v/>
      </c>
      <c r="AB54" s="52" t="str">
        <f>IF(AND('Mapa final'!$AA$59="Muy Baja",'Mapa final'!$AC$59="Mayor"),CONCATENATE("R9C",'Mapa final'!$Q$59),"")</f>
        <v/>
      </c>
      <c r="AC54" s="53" t="str">
        <f>IF(AND('Mapa final'!$AA$60="Muy Baja",'Mapa final'!$AC$60="Mayor"),CONCATENATE("R9C",'Mapa final'!$Q$60),"")</f>
        <v/>
      </c>
      <c r="AD54" s="58" t="str">
        <f>IF(AND('Mapa final'!$AA$61="Muy Baja",'Mapa final'!$AC$61="Mayor"),CONCATENATE("R9C",'Mapa final'!$Q$61),"")</f>
        <v/>
      </c>
      <c r="AE54" s="58" t="str">
        <f>IF(AND('Mapa final'!$AA$62="Muy Baja",'Mapa final'!$AC$62="Mayor"),CONCATENATE("R9C",'Mapa final'!$Q$62),"")</f>
        <v/>
      </c>
      <c r="AF54" s="58" t="str">
        <f>IF(AND('Mapa final'!$AA$63="Muy Baja",'Mapa final'!$AC$63="Mayor"),CONCATENATE("R9C",'Mapa final'!$Q$63),"")</f>
        <v/>
      </c>
      <c r="AG54" s="54" t="str">
        <f>IF(AND('Mapa final'!$AA$64="Muy Baja",'Mapa final'!$AC$64="Mayor"),CONCATENATE("R9C",'Mapa final'!$Q$64),"")</f>
        <v/>
      </c>
      <c r="AH54" s="55" t="str">
        <f>IF(AND('Mapa final'!$AA$59="Muy Baja",'Mapa final'!$AC$59="Catastrófico"),CONCATENATE("R9C",'Mapa final'!$Q$59),"")</f>
        <v/>
      </c>
      <c r="AI54" s="56" t="str">
        <f>IF(AND('Mapa final'!$AA$60="Muy Baja",'Mapa final'!$AC$60="Catastrófico"),CONCATENATE("R9C",'Mapa final'!$Q$60),"")</f>
        <v/>
      </c>
      <c r="AJ54" s="56" t="str">
        <f>IF(AND('Mapa final'!$AA$61="Muy Baja",'Mapa final'!$AC$61="Catastrófico"),CONCATENATE("R9C",'Mapa final'!$Q$61),"")</f>
        <v/>
      </c>
      <c r="AK54" s="56" t="str">
        <f>IF(AND('Mapa final'!$AA$62="Muy Baja",'Mapa final'!$AC$62="Catastrófico"),CONCATENATE("R9C",'Mapa final'!$Q$62),"")</f>
        <v/>
      </c>
      <c r="AL54" s="56" t="str">
        <f>IF(AND('Mapa final'!$AA$63="Muy Baja",'Mapa final'!$AC$63="Catastrófico"),CONCATENATE("R9C",'Mapa final'!$Q$63),"")</f>
        <v/>
      </c>
      <c r="AM54" s="57" t="str">
        <f>IF(AND('Mapa final'!$AA$64="Muy Baja",'Mapa final'!$AC$64="Catastrófico"),CONCATENATE("R9C",'Mapa final'!$Q$64),"")</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5">
      <c r="A55" s="84"/>
      <c r="B55" s="313"/>
      <c r="C55" s="313"/>
      <c r="D55" s="314"/>
      <c r="E55" s="357"/>
      <c r="F55" s="358"/>
      <c r="G55" s="358"/>
      <c r="H55" s="358"/>
      <c r="I55" s="359"/>
      <c r="J55" s="80" t="str">
        <f>IF(AND('Mapa final'!$AA$65="Muy Baja",'Mapa final'!$AC$65="Leve"),CONCATENATE("R10C",'Mapa final'!$Q$65),"")</f>
        <v/>
      </c>
      <c r="K55" s="81" t="str">
        <f>IF(AND('Mapa final'!$AA$66="Muy Baja",'Mapa final'!$AC$66="Leve"),CONCATENATE("R10C",'Mapa final'!$Q$66),"")</f>
        <v/>
      </c>
      <c r="L55" s="81" t="str">
        <f>IF(AND('Mapa final'!$AA$67="Muy Baja",'Mapa final'!$AC$67="Leve"),CONCATENATE("R10C",'Mapa final'!$Q$67),"")</f>
        <v/>
      </c>
      <c r="M55" s="81" t="str">
        <f>IF(AND('Mapa final'!$AA$68="Muy Baja",'Mapa final'!$AC$68="Leve"),CONCATENATE("R10C",'Mapa final'!$Q$68),"")</f>
        <v/>
      </c>
      <c r="N55" s="81" t="str">
        <f>IF(AND('Mapa final'!$AA$69="Muy Baja",'Mapa final'!$AC$69="Leve"),CONCATENATE("R10C",'Mapa final'!$Q$69),"")</f>
        <v/>
      </c>
      <c r="O55" s="82" t="str">
        <f>IF(AND('Mapa final'!$AA$70="Muy Baja",'Mapa final'!$AC$70="Leve"),CONCATENATE("R10C",'Mapa final'!$Q$70),"")</f>
        <v/>
      </c>
      <c r="P55" s="80" t="str">
        <f>IF(AND('Mapa final'!$AA$65="Muy Baja",'Mapa final'!$AC$65="Menor"),CONCATENATE("R10C",'Mapa final'!$Q$65),"")</f>
        <v/>
      </c>
      <c r="Q55" s="81" t="str">
        <f>IF(AND('Mapa final'!$AA$66="Muy Baja",'Mapa final'!$AC$66="Menor"),CONCATENATE("R10C",'Mapa final'!$Q$66),"")</f>
        <v/>
      </c>
      <c r="R55" s="81" t="str">
        <f>IF(AND('Mapa final'!$AA$67="Muy Baja",'Mapa final'!$AC$67="Menor"),CONCATENATE("R10C",'Mapa final'!$Q$67),"")</f>
        <v/>
      </c>
      <c r="S55" s="81" t="str">
        <f>IF(AND('Mapa final'!$AA$68="Muy Baja",'Mapa final'!$AC$68="Menor"),CONCATENATE("R10C",'Mapa final'!$Q$68),"")</f>
        <v/>
      </c>
      <c r="T55" s="81" t="str">
        <f>IF(AND('Mapa final'!$AA$69="Muy Baja",'Mapa final'!$AC$69="Menor"),CONCATENATE("R10C",'Mapa final'!$Q$69),"")</f>
        <v/>
      </c>
      <c r="U55" s="82" t="str">
        <f>IF(AND('Mapa final'!$AA$70="Muy Baja",'Mapa final'!$AC$70="Menor"),CONCATENATE("R10C",'Mapa final'!$Q$70),"")</f>
        <v/>
      </c>
      <c r="V55" s="71" t="str">
        <f>IF(AND('Mapa final'!$AA$65="Muy Baja",'Mapa final'!$AC$65="Moderado"),CONCATENATE("R10C",'Mapa final'!$Q$65),"")</f>
        <v/>
      </c>
      <c r="W55" s="72" t="str">
        <f>IF(AND('Mapa final'!$AA$66="Muy Baja",'Mapa final'!$AC$66="Moderado"),CONCATENATE("R10C",'Mapa final'!$Q$66),"")</f>
        <v/>
      </c>
      <c r="X55" s="72" t="str">
        <f>IF(AND('Mapa final'!$AA$67="Muy Baja",'Mapa final'!$AC$67="Moderado"),CONCATENATE("R10C",'Mapa final'!$Q$67),"")</f>
        <v/>
      </c>
      <c r="Y55" s="72" t="str">
        <f>IF(AND('Mapa final'!$AA$68="Muy Baja",'Mapa final'!$AC$68="Moderado"),CONCATENATE("R10C",'Mapa final'!$Q$68),"")</f>
        <v/>
      </c>
      <c r="Z55" s="72" t="str">
        <f>IF(AND('Mapa final'!$AA$69="Muy Baja",'Mapa final'!$AC$69="Moderado"),CONCATENATE("R10C",'Mapa final'!$Q$69),"")</f>
        <v/>
      </c>
      <c r="AA55" s="73" t="str">
        <f>IF(AND('Mapa final'!$AA$70="Muy Baja",'Mapa final'!$AC$70="Moderado"),CONCATENATE("R10C",'Mapa final'!$Q$70),"")</f>
        <v/>
      </c>
      <c r="AB55" s="59" t="str">
        <f>IF(AND('Mapa final'!$AA$65="Muy Baja",'Mapa final'!$AC$65="Mayor"),CONCATENATE("R10C",'Mapa final'!$Q$65),"")</f>
        <v/>
      </c>
      <c r="AC55" s="60" t="str">
        <f>IF(AND('Mapa final'!$AA$66="Muy Baja",'Mapa final'!$AC$66="Mayor"),CONCATENATE("R10C",'Mapa final'!$Q$66),"")</f>
        <v/>
      </c>
      <c r="AD55" s="60" t="str">
        <f>IF(AND('Mapa final'!$AA$67="Muy Baja",'Mapa final'!$AC$67="Mayor"),CONCATENATE("R10C",'Mapa final'!$Q$67),"")</f>
        <v/>
      </c>
      <c r="AE55" s="60" t="str">
        <f>IF(AND('Mapa final'!$AA$68="Muy Baja",'Mapa final'!$AC$68="Mayor"),CONCATENATE("R10C",'Mapa final'!$Q$68),"")</f>
        <v/>
      </c>
      <c r="AF55" s="60" t="str">
        <f>IF(AND('Mapa final'!$AA$69="Muy Baja",'Mapa final'!$AC$69="Mayor"),CONCATENATE("R10C",'Mapa final'!$Q$69),"")</f>
        <v/>
      </c>
      <c r="AG55" s="61" t="str">
        <f>IF(AND('Mapa final'!$AA$70="Muy Baja",'Mapa final'!$AC$70="Mayor"),CONCATENATE("R10C",'Mapa final'!$Q$70),"")</f>
        <v/>
      </c>
      <c r="AH55" s="62" t="str">
        <f>IF(AND('Mapa final'!$AA$65="Muy Baja",'Mapa final'!$AC$65="Catastrófico"),CONCATENATE("R10C",'Mapa final'!$Q$65),"")</f>
        <v/>
      </c>
      <c r="AI55" s="63" t="str">
        <f>IF(AND('Mapa final'!$AA$66="Muy Baja",'Mapa final'!$AC$66="Catastrófico"),CONCATENATE("R10C",'Mapa final'!$Q$66),"")</f>
        <v/>
      </c>
      <c r="AJ55" s="63" t="str">
        <f>IF(AND('Mapa final'!$AA$67="Muy Baja",'Mapa final'!$AC$67="Catastrófico"),CONCATENATE("R10C",'Mapa final'!$Q$67),"")</f>
        <v/>
      </c>
      <c r="AK55" s="63" t="str">
        <f>IF(AND('Mapa final'!$AA$68="Muy Baja",'Mapa final'!$AC$68="Catastrófico"),CONCATENATE("R10C",'Mapa final'!$Q$68),"")</f>
        <v/>
      </c>
      <c r="AL55" s="63" t="str">
        <f>IF(AND('Mapa final'!$AA$69="Muy Baja",'Mapa final'!$AC$69="Catastrófico"),CONCATENATE("R10C",'Mapa final'!$Q$69),"")</f>
        <v/>
      </c>
      <c r="AM55" s="64" t="str">
        <f>IF(AND('Mapa final'!$AA$70="Muy Baja",'Mapa final'!$AC$70="Catastrófico"),CONCATENATE("R10C",'Mapa final'!$Q$70),"")</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3">
      <c r="A56" s="84"/>
      <c r="B56" s="84"/>
      <c r="C56" s="84"/>
      <c r="D56" s="84"/>
      <c r="E56" s="84"/>
      <c r="F56" s="84"/>
      <c r="G56" s="84"/>
      <c r="H56" s="84"/>
      <c r="I56" s="84"/>
      <c r="J56" s="351" t="s">
        <v>104</v>
      </c>
      <c r="K56" s="352"/>
      <c r="L56" s="352"/>
      <c r="M56" s="352"/>
      <c r="N56" s="352"/>
      <c r="O56" s="353"/>
      <c r="P56" s="351" t="s">
        <v>103</v>
      </c>
      <c r="Q56" s="352"/>
      <c r="R56" s="352"/>
      <c r="S56" s="352"/>
      <c r="T56" s="352"/>
      <c r="U56" s="353"/>
      <c r="V56" s="351" t="s">
        <v>102</v>
      </c>
      <c r="W56" s="352"/>
      <c r="X56" s="352"/>
      <c r="Y56" s="352"/>
      <c r="Z56" s="352"/>
      <c r="AA56" s="353"/>
      <c r="AB56" s="351" t="s">
        <v>101</v>
      </c>
      <c r="AC56" s="360"/>
      <c r="AD56" s="352"/>
      <c r="AE56" s="352"/>
      <c r="AF56" s="352"/>
      <c r="AG56" s="353"/>
      <c r="AH56" s="351" t="s">
        <v>100</v>
      </c>
      <c r="AI56" s="352"/>
      <c r="AJ56" s="352"/>
      <c r="AK56" s="352"/>
      <c r="AL56" s="352"/>
      <c r="AM56" s="353"/>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3">
      <c r="A57" s="84"/>
      <c r="B57" s="84"/>
      <c r="C57" s="84"/>
      <c r="D57" s="84"/>
      <c r="E57" s="84"/>
      <c r="F57" s="84"/>
      <c r="G57" s="84"/>
      <c r="H57" s="84"/>
      <c r="I57" s="84"/>
      <c r="J57" s="354"/>
      <c r="K57" s="355"/>
      <c r="L57" s="355"/>
      <c r="M57" s="355"/>
      <c r="N57" s="355"/>
      <c r="O57" s="356"/>
      <c r="P57" s="354"/>
      <c r="Q57" s="355"/>
      <c r="R57" s="355"/>
      <c r="S57" s="355"/>
      <c r="T57" s="355"/>
      <c r="U57" s="356"/>
      <c r="V57" s="354"/>
      <c r="W57" s="355"/>
      <c r="X57" s="355"/>
      <c r="Y57" s="355"/>
      <c r="Z57" s="355"/>
      <c r="AA57" s="356"/>
      <c r="AB57" s="354"/>
      <c r="AC57" s="355"/>
      <c r="AD57" s="355"/>
      <c r="AE57" s="355"/>
      <c r="AF57" s="355"/>
      <c r="AG57" s="356"/>
      <c r="AH57" s="354"/>
      <c r="AI57" s="355"/>
      <c r="AJ57" s="355"/>
      <c r="AK57" s="355"/>
      <c r="AL57" s="355"/>
      <c r="AM57" s="356"/>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3">
      <c r="A58" s="84"/>
      <c r="B58" s="84"/>
      <c r="C58" s="84"/>
      <c r="D58" s="84"/>
      <c r="E58" s="84"/>
      <c r="F58" s="84"/>
      <c r="G58" s="84"/>
      <c r="H58" s="84"/>
      <c r="I58" s="84"/>
      <c r="J58" s="354"/>
      <c r="K58" s="355"/>
      <c r="L58" s="355"/>
      <c r="M58" s="355"/>
      <c r="N58" s="355"/>
      <c r="O58" s="356"/>
      <c r="P58" s="354"/>
      <c r="Q58" s="355"/>
      <c r="R58" s="355"/>
      <c r="S58" s="355"/>
      <c r="T58" s="355"/>
      <c r="U58" s="356"/>
      <c r="V58" s="354"/>
      <c r="W58" s="355"/>
      <c r="X58" s="355"/>
      <c r="Y58" s="355"/>
      <c r="Z58" s="355"/>
      <c r="AA58" s="356"/>
      <c r="AB58" s="354"/>
      <c r="AC58" s="355"/>
      <c r="AD58" s="355"/>
      <c r="AE58" s="355"/>
      <c r="AF58" s="355"/>
      <c r="AG58" s="356"/>
      <c r="AH58" s="354"/>
      <c r="AI58" s="355"/>
      <c r="AJ58" s="355"/>
      <c r="AK58" s="355"/>
      <c r="AL58" s="355"/>
      <c r="AM58" s="356"/>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3">
      <c r="A59" s="84"/>
      <c r="B59" s="84"/>
      <c r="C59" s="84"/>
      <c r="D59" s="84"/>
      <c r="E59" s="84"/>
      <c r="F59" s="84"/>
      <c r="G59" s="84"/>
      <c r="H59" s="84"/>
      <c r="I59" s="84"/>
      <c r="J59" s="354"/>
      <c r="K59" s="355"/>
      <c r="L59" s="355"/>
      <c r="M59" s="355"/>
      <c r="N59" s="355"/>
      <c r="O59" s="356"/>
      <c r="P59" s="354"/>
      <c r="Q59" s="355"/>
      <c r="R59" s="355"/>
      <c r="S59" s="355"/>
      <c r="T59" s="355"/>
      <c r="U59" s="356"/>
      <c r="V59" s="354"/>
      <c r="W59" s="355"/>
      <c r="X59" s="355"/>
      <c r="Y59" s="355"/>
      <c r="Z59" s="355"/>
      <c r="AA59" s="356"/>
      <c r="AB59" s="354"/>
      <c r="AC59" s="355"/>
      <c r="AD59" s="355"/>
      <c r="AE59" s="355"/>
      <c r="AF59" s="355"/>
      <c r="AG59" s="356"/>
      <c r="AH59" s="354"/>
      <c r="AI59" s="355"/>
      <c r="AJ59" s="355"/>
      <c r="AK59" s="355"/>
      <c r="AL59" s="355"/>
      <c r="AM59" s="356"/>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3">
      <c r="A60" s="84"/>
      <c r="B60" s="84"/>
      <c r="C60" s="84"/>
      <c r="D60" s="84"/>
      <c r="E60" s="84"/>
      <c r="F60" s="84"/>
      <c r="G60" s="84"/>
      <c r="H60" s="84"/>
      <c r="I60" s="84"/>
      <c r="J60" s="354"/>
      <c r="K60" s="355"/>
      <c r="L60" s="355"/>
      <c r="M60" s="355"/>
      <c r="N60" s="355"/>
      <c r="O60" s="356"/>
      <c r="P60" s="354"/>
      <c r="Q60" s="355"/>
      <c r="R60" s="355"/>
      <c r="S60" s="355"/>
      <c r="T60" s="355"/>
      <c r="U60" s="356"/>
      <c r="V60" s="354"/>
      <c r="W60" s="355"/>
      <c r="X60" s="355"/>
      <c r="Y60" s="355"/>
      <c r="Z60" s="355"/>
      <c r="AA60" s="356"/>
      <c r="AB60" s="354"/>
      <c r="AC60" s="355"/>
      <c r="AD60" s="355"/>
      <c r="AE60" s="355"/>
      <c r="AF60" s="355"/>
      <c r="AG60" s="356"/>
      <c r="AH60" s="354"/>
      <c r="AI60" s="355"/>
      <c r="AJ60" s="355"/>
      <c r="AK60" s="355"/>
      <c r="AL60" s="355"/>
      <c r="AM60" s="356"/>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 thickBot="1" x14ac:dyDescent="0.35">
      <c r="A61" s="84"/>
      <c r="B61" s="84"/>
      <c r="C61" s="84"/>
      <c r="D61" s="84"/>
      <c r="E61" s="84"/>
      <c r="F61" s="84"/>
      <c r="G61" s="84"/>
      <c r="H61" s="84"/>
      <c r="I61" s="84"/>
      <c r="J61" s="357"/>
      <c r="K61" s="358"/>
      <c r="L61" s="358"/>
      <c r="M61" s="358"/>
      <c r="N61" s="358"/>
      <c r="O61" s="359"/>
      <c r="P61" s="357"/>
      <c r="Q61" s="358"/>
      <c r="R61" s="358"/>
      <c r="S61" s="358"/>
      <c r="T61" s="358"/>
      <c r="U61" s="359"/>
      <c r="V61" s="357"/>
      <c r="W61" s="358"/>
      <c r="X61" s="358"/>
      <c r="Y61" s="358"/>
      <c r="Z61" s="358"/>
      <c r="AA61" s="359"/>
      <c r="AB61" s="357"/>
      <c r="AC61" s="358"/>
      <c r="AD61" s="358"/>
      <c r="AE61" s="358"/>
      <c r="AF61" s="358"/>
      <c r="AG61" s="359"/>
      <c r="AH61" s="357"/>
      <c r="AI61" s="358"/>
      <c r="AJ61" s="358"/>
      <c r="AK61" s="358"/>
      <c r="AL61" s="358"/>
      <c r="AM61" s="359"/>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3">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3">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3">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3">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3">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3">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3">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3">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3">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3">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3">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3">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3">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3">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3">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3">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3">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3">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3">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3">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3">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3">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3">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3">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3">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3">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3">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3">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3">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3">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3">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3">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3">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3">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3">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3">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3">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3">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3">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3">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3">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3">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3">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3">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3">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3">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3">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3">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3">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3">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3">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3">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3">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3">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3">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3">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3">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3">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3">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3">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3">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3">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3">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3">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3">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3">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3">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3">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3">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3">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3">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3">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3">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3">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3">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3">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3">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3">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3">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3">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3">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3">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3">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3">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3">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3">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3">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3">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3">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3">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3">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3">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3">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3">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3">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3">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3">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3">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3">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3">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3">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3">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3">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3">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3">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3">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3">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3">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3">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3">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3">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3">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3">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3">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3">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3">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3">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3">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3">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3">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3">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3">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3">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3">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3">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3">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3">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3">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3">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3">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3">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3">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3">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3">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3">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3">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3">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3">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3">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3">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3">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3">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3">
      <c r="A245" s="84"/>
    </row>
    <row r="246" spans="1:60" x14ac:dyDescent="0.3">
      <c r="A246" s="84"/>
    </row>
    <row r="247" spans="1:60" x14ac:dyDescent="0.3">
      <c r="A247" s="84"/>
    </row>
    <row r="248" spans="1:60" x14ac:dyDescent="0.3">
      <c r="A248" s="84"/>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B8" sqref="B8"/>
    </sheetView>
  </sheetViews>
  <sheetFormatPr baseColWidth="10" defaultRowHeight="14.4" x14ac:dyDescent="0.3"/>
  <cols>
    <col min="2" max="2" width="24.109375" customWidth="1"/>
    <col min="3" max="3" width="70.109375" customWidth="1"/>
    <col min="4" max="4" width="29.77734375" customWidth="1"/>
  </cols>
  <sheetData>
    <row r="1" spans="1:37" ht="23.4" x14ac:dyDescent="0.3">
      <c r="A1" s="84"/>
      <c r="B1" s="401" t="s">
        <v>53</v>
      </c>
      <c r="C1" s="401"/>
      <c r="D1" s="401"/>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3">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2" x14ac:dyDescent="0.3">
      <c r="A3" s="84"/>
      <c r="B3" s="11"/>
      <c r="C3" s="12" t="s">
        <v>50</v>
      </c>
      <c r="D3" s="12" t="s">
        <v>3</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0.4" x14ac:dyDescent="0.3">
      <c r="A4" s="84"/>
      <c r="B4" s="13" t="s">
        <v>49</v>
      </c>
      <c r="C4" s="14" t="s">
        <v>206</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0.4" x14ac:dyDescent="0.3">
      <c r="A5" s="84"/>
      <c r="B5" s="16" t="s">
        <v>51</v>
      </c>
      <c r="C5" s="17" t="s">
        <v>207</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0.4" x14ac:dyDescent="0.3">
      <c r="A6" s="84"/>
      <c r="B6" s="19" t="s">
        <v>99</v>
      </c>
      <c r="C6" s="17" t="s">
        <v>208</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5.599999999999994" x14ac:dyDescent="0.3">
      <c r="A7" s="84"/>
      <c r="B7" s="20" t="s">
        <v>5</v>
      </c>
      <c r="C7" s="17" t="s">
        <v>209</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0.4" x14ac:dyDescent="0.3">
      <c r="A8" s="84"/>
      <c r="B8" s="21" t="s">
        <v>52</v>
      </c>
      <c r="C8" s="17" t="s">
        <v>210</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3">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x14ac:dyDescent="0.3">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3">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3">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3">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3">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3">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3">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3">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3">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3">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3">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3">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3">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3">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3">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3">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3">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3">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3">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3">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3">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3">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3">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3">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3">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3">
      <c r="A35" s="84"/>
    </row>
    <row r="36" spans="1:31" x14ac:dyDescent="0.3">
      <c r="A36" s="84"/>
    </row>
    <row r="37" spans="1:31" x14ac:dyDescent="0.3">
      <c r="A37" s="84"/>
    </row>
    <row r="38" spans="1:31" x14ac:dyDescent="0.3">
      <c r="A38" s="84"/>
    </row>
    <row r="39" spans="1:31" x14ac:dyDescent="0.3">
      <c r="A39" s="84"/>
    </row>
    <row r="40" spans="1:31" x14ac:dyDescent="0.3">
      <c r="A40" s="84"/>
    </row>
    <row r="41" spans="1:31" x14ac:dyDescent="0.3">
      <c r="A41" s="84"/>
    </row>
    <row r="42" spans="1:31" x14ac:dyDescent="0.3">
      <c r="A42" s="84"/>
    </row>
    <row r="43" spans="1:31" x14ac:dyDescent="0.3">
      <c r="A43" s="84"/>
    </row>
    <row r="44" spans="1:31" x14ac:dyDescent="0.3">
      <c r="A44" s="84"/>
    </row>
    <row r="45" spans="1:31" x14ac:dyDescent="0.3">
      <c r="A45" s="84"/>
    </row>
    <row r="46" spans="1:31" x14ac:dyDescent="0.3">
      <c r="A46" s="84"/>
    </row>
    <row r="47" spans="1:31" x14ac:dyDescent="0.3">
      <c r="A47" s="84"/>
    </row>
    <row r="48" spans="1:31" x14ac:dyDescent="0.3">
      <c r="A48" s="84"/>
    </row>
    <row r="49" spans="1:1" x14ac:dyDescent="0.3">
      <c r="A49" s="84"/>
    </row>
    <row r="50" spans="1:1" x14ac:dyDescent="0.3">
      <c r="A50" s="84"/>
    </row>
    <row r="51" spans="1:1" x14ac:dyDescent="0.3">
      <c r="A51" s="84"/>
    </row>
    <row r="52" spans="1:1" x14ac:dyDescent="0.3">
      <c r="A52" s="84"/>
    </row>
    <row r="53" spans="1:1" x14ac:dyDescent="0.3">
      <c r="A53" s="84"/>
    </row>
    <row r="54" spans="1:1" x14ac:dyDescent="0.3">
      <c r="A54" s="84"/>
    </row>
    <row r="55" spans="1:1" x14ac:dyDescent="0.3">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8"/>
  <sheetViews>
    <sheetView zoomScale="60" zoomScaleNormal="60" workbookViewId="0">
      <selection activeCell="A210" sqref="A210"/>
    </sheetView>
  </sheetViews>
  <sheetFormatPr baseColWidth="10" defaultRowHeight="14.4" x14ac:dyDescent="0.3"/>
  <cols>
    <col min="2" max="2" width="40.44140625" customWidth="1"/>
    <col min="3" max="3" width="74.77734375" customWidth="1"/>
    <col min="4" max="4" width="126.33203125" bestFit="1" customWidth="1"/>
    <col min="5" max="5" width="12.44140625" bestFit="1" customWidth="1"/>
    <col min="6" max="6" width="144.77734375" bestFit="1" customWidth="1"/>
    <col min="7" max="7" width="47.109375" bestFit="1" customWidth="1"/>
    <col min="8" max="8" width="125.109375" bestFit="1" customWidth="1"/>
    <col min="9" max="9" width="146.109375" bestFit="1" customWidth="1"/>
    <col min="10" max="10" width="52.109375" bestFit="1" customWidth="1"/>
    <col min="11" max="11" width="147.44140625" bestFit="1" customWidth="1"/>
    <col min="12" max="12" width="16.44140625" bestFit="1" customWidth="1"/>
  </cols>
  <sheetData>
    <row r="1" spans="1:21" ht="32.4" x14ac:dyDescent="0.3">
      <c r="A1" s="84"/>
      <c r="B1" s="402" t="s">
        <v>61</v>
      </c>
      <c r="C1" s="402"/>
      <c r="D1" s="402"/>
      <c r="E1" s="84"/>
      <c r="F1" s="84"/>
      <c r="G1" s="84"/>
      <c r="H1" s="84"/>
      <c r="I1" s="84"/>
      <c r="J1" s="84"/>
      <c r="K1" s="84"/>
      <c r="L1" s="84"/>
      <c r="M1" s="84"/>
      <c r="N1" s="84"/>
      <c r="O1" s="84"/>
      <c r="P1" s="84"/>
      <c r="Q1" s="84"/>
      <c r="R1" s="84"/>
      <c r="S1" s="84"/>
      <c r="T1" s="84"/>
      <c r="U1" s="84"/>
    </row>
    <row r="2" spans="1:21" x14ac:dyDescent="0.3">
      <c r="A2" s="84"/>
      <c r="B2" s="84"/>
      <c r="C2" s="84"/>
      <c r="D2" s="84"/>
      <c r="E2" s="84"/>
      <c r="F2" s="84"/>
      <c r="G2" s="84"/>
      <c r="H2" s="84"/>
      <c r="I2" s="84"/>
      <c r="J2" s="84"/>
      <c r="K2" s="84"/>
      <c r="L2" s="84"/>
      <c r="M2" s="84"/>
      <c r="N2" s="84"/>
      <c r="O2" s="84"/>
      <c r="P2" s="84"/>
      <c r="Q2" s="84"/>
      <c r="R2" s="84"/>
      <c r="S2" s="84"/>
      <c r="T2" s="84"/>
      <c r="U2" s="84"/>
    </row>
    <row r="3" spans="1:21" ht="30" x14ac:dyDescent="0.3">
      <c r="A3" s="84"/>
      <c r="B3" s="105"/>
      <c r="C3" s="36" t="s">
        <v>54</v>
      </c>
      <c r="D3" s="36" t="s">
        <v>55</v>
      </c>
      <c r="E3" s="84"/>
      <c r="F3" s="84"/>
      <c r="G3" s="84"/>
      <c r="H3" s="84"/>
      <c r="I3" s="84"/>
      <c r="J3" s="84"/>
      <c r="K3" s="84"/>
      <c r="L3" s="84"/>
      <c r="M3" s="84"/>
      <c r="N3" s="84"/>
      <c r="O3" s="84"/>
      <c r="P3" s="84"/>
      <c r="Q3" s="84"/>
      <c r="R3" s="84"/>
      <c r="S3" s="84"/>
      <c r="T3" s="84"/>
      <c r="U3" s="84"/>
    </row>
    <row r="4" spans="1:21" ht="32.4" x14ac:dyDescent="0.3">
      <c r="A4" s="104" t="s">
        <v>80</v>
      </c>
      <c r="B4" s="39" t="s">
        <v>98</v>
      </c>
      <c r="C4" s="44" t="s">
        <v>141</v>
      </c>
      <c r="D4" s="37" t="s">
        <v>94</v>
      </c>
      <c r="E4" s="84"/>
      <c r="F4" s="84"/>
      <c r="G4" s="84"/>
      <c r="H4" s="84"/>
      <c r="I4" s="84"/>
      <c r="J4" s="84"/>
      <c r="K4" s="84"/>
      <c r="L4" s="84"/>
      <c r="M4" s="84"/>
      <c r="N4" s="84"/>
      <c r="O4" s="84"/>
      <c r="P4" s="84"/>
      <c r="Q4" s="84"/>
      <c r="R4" s="84"/>
      <c r="S4" s="84"/>
      <c r="T4" s="84"/>
      <c r="U4" s="84"/>
    </row>
    <row r="5" spans="1:21" ht="97.2" x14ac:dyDescent="0.3">
      <c r="A5" s="104" t="s">
        <v>81</v>
      </c>
      <c r="B5" s="40" t="s">
        <v>57</v>
      </c>
      <c r="C5" s="45" t="s">
        <v>90</v>
      </c>
      <c r="D5" s="38" t="s">
        <v>95</v>
      </c>
      <c r="E5" s="84"/>
      <c r="F5" s="84"/>
      <c r="G5" s="84"/>
      <c r="H5" s="84"/>
      <c r="I5" s="84"/>
      <c r="J5" s="84"/>
      <c r="K5" s="84"/>
      <c r="L5" s="84"/>
      <c r="M5" s="84"/>
      <c r="N5" s="84"/>
      <c r="O5" s="84"/>
      <c r="P5" s="84"/>
      <c r="Q5" s="84"/>
      <c r="R5" s="84"/>
      <c r="S5" s="84"/>
      <c r="T5" s="84"/>
      <c r="U5" s="84"/>
    </row>
    <row r="6" spans="1:21" ht="64.8" x14ac:dyDescent="0.3">
      <c r="A6" s="104" t="s">
        <v>78</v>
      </c>
      <c r="B6" s="41" t="s">
        <v>58</v>
      </c>
      <c r="C6" s="45" t="s">
        <v>91</v>
      </c>
      <c r="D6" s="38" t="s">
        <v>97</v>
      </c>
      <c r="E6" s="84"/>
      <c r="F6" s="84"/>
      <c r="G6" s="84"/>
      <c r="H6" s="84"/>
      <c r="I6" s="84"/>
      <c r="J6" s="84"/>
      <c r="K6" s="84"/>
      <c r="L6" s="84"/>
      <c r="M6" s="84"/>
      <c r="N6" s="84"/>
      <c r="O6" s="84"/>
      <c r="P6" s="84"/>
      <c r="Q6" s="84"/>
      <c r="R6" s="84"/>
      <c r="S6" s="84"/>
      <c r="T6" s="84"/>
      <c r="U6" s="84"/>
    </row>
    <row r="7" spans="1:21" ht="97.2" x14ac:dyDescent="0.3">
      <c r="A7" s="104" t="s">
        <v>6</v>
      </c>
      <c r="B7" s="42" t="s">
        <v>59</v>
      </c>
      <c r="C7" s="45" t="s">
        <v>92</v>
      </c>
      <c r="D7" s="38" t="s">
        <v>96</v>
      </c>
      <c r="E7" s="84"/>
      <c r="F7" s="84"/>
      <c r="G7" s="84"/>
      <c r="H7" s="84"/>
      <c r="I7" s="84"/>
      <c r="J7" s="84"/>
      <c r="K7" s="84"/>
      <c r="L7" s="84"/>
      <c r="M7" s="84"/>
      <c r="N7" s="84"/>
      <c r="O7" s="84"/>
      <c r="P7" s="84"/>
      <c r="Q7" s="84"/>
      <c r="R7" s="84"/>
      <c r="S7" s="84"/>
      <c r="T7" s="84"/>
      <c r="U7" s="84"/>
    </row>
    <row r="8" spans="1:21" ht="64.8" x14ac:dyDescent="0.3">
      <c r="A8" s="104" t="s">
        <v>82</v>
      </c>
      <c r="B8" s="43" t="s">
        <v>60</v>
      </c>
      <c r="C8" s="45" t="s">
        <v>93</v>
      </c>
      <c r="D8" s="38" t="s">
        <v>110</v>
      </c>
      <c r="E8" s="84"/>
      <c r="F8" s="84"/>
      <c r="G8" s="84"/>
      <c r="H8" s="84"/>
      <c r="I8" s="84"/>
      <c r="J8" s="84"/>
      <c r="K8" s="84"/>
      <c r="L8" s="84"/>
      <c r="M8" s="84"/>
      <c r="N8" s="84"/>
      <c r="O8" s="84"/>
      <c r="P8" s="84"/>
      <c r="Q8" s="84"/>
      <c r="R8" s="84"/>
      <c r="S8" s="84"/>
      <c r="T8" s="84"/>
      <c r="U8" s="84"/>
    </row>
    <row r="9" spans="1:21" ht="20.399999999999999" x14ac:dyDescent="0.3">
      <c r="A9" s="104"/>
      <c r="B9" s="104"/>
      <c r="C9" s="106"/>
      <c r="D9" s="106"/>
      <c r="E9" s="84"/>
      <c r="F9" s="84"/>
      <c r="G9" s="84"/>
      <c r="H9" s="84"/>
      <c r="I9" s="84"/>
      <c r="J9" s="84"/>
      <c r="K9" s="84"/>
      <c r="L9" s="84"/>
      <c r="M9" s="84"/>
      <c r="N9" s="84"/>
      <c r="O9" s="84"/>
      <c r="P9" s="84"/>
      <c r="Q9" s="84"/>
      <c r="R9" s="84"/>
      <c r="S9" s="84"/>
      <c r="T9" s="84"/>
      <c r="U9" s="84"/>
    </row>
    <row r="10" spans="1:21" x14ac:dyDescent="0.3">
      <c r="A10" s="104"/>
      <c r="B10" s="107"/>
      <c r="C10" s="107"/>
      <c r="D10" s="107"/>
      <c r="E10" s="84"/>
      <c r="F10" s="84"/>
      <c r="G10" s="84"/>
      <c r="H10" s="84"/>
      <c r="I10" s="84"/>
      <c r="J10" s="84"/>
      <c r="K10" s="84"/>
      <c r="L10" s="84"/>
      <c r="M10" s="84"/>
      <c r="N10" s="84"/>
      <c r="O10" s="84"/>
      <c r="P10" s="84"/>
      <c r="Q10" s="84"/>
      <c r="R10" s="84"/>
      <c r="S10" s="84"/>
      <c r="T10" s="84"/>
      <c r="U10" s="84"/>
    </row>
    <row r="11" spans="1:21" x14ac:dyDescent="0.3">
      <c r="A11" s="104"/>
      <c r="B11" s="104" t="s">
        <v>88</v>
      </c>
      <c r="C11" s="104" t="s">
        <v>129</v>
      </c>
      <c r="D11" s="104" t="s">
        <v>136</v>
      </c>
      <c r="E11" s="84"/>
      <c r="F11" s="84"/>
      <c r="G11" s="84"/>
      <c r="H11" s="84"/>
      <c r="I11" s="84"/>
      <c r="J11" s="84"/>
      <c r="K11" s="84"/>
      <c r="L11" s="84"/>
      <c r="M11" s="84"/>
      <c r="N11" s="84"/>
      <c r="O11" s="84"/>
      <c r="P11" s="84"/>
      <c r="Q11" s="84"/>
      <c r="R11" s="84"/>
      <c r="S11" s="84"/>
      <c r="T11" s="84"/>
      <c r="U11" s="84"/>
    </row>
    <row r="12" spans="1:21" x14ac:dyDescent="0.3">
      <c r="A12" s="104"/>
      <c r="B12" s="104" t="s">
        <v>86</v>
      </c>
      <c r="C12" s="104" t="s">
        <v>133</v>
      </c>
      <c r="D12" s="104" t="s">
        <v>137</v>
      </c>
      <c r="E12" s="84"/>
      <c r="F12" s="84"/>
      <c r="G12" s="84"/>
      <c r="H12" s="84"/>
      <c r="I12" s="84"/>
      <c r="J12" s="84"/>
      <c r="K12" s="84"/>
      <c r="L12" s="84"/>
      <c r="M12" s="84"/>
      <c r="N12" s="84"/>
      <c r="O12" s="84"/>
      <c r="P12" s="84"/>
      <c r="Q12" s="84"/>
      <c r="R12" s="84"/>
      <c r="S12" s="84"/>
      <c r="T12" s="84"/>
      <c r="U12" s="84"/>
    </row>
    <row r="13" spans="1:21" x14ac:dyDescent="0.3">
      <c r="A13" s="104"/>
      <c r="B13" s="104"/>
      <c r="C13" s="104" t="s">
        <v>132</v>
      </c>
      <c r="D13" s="104" t="s">
        <v>138</v>
      </c>
      <c r="E13" s="84"/>
      <c r="F13" s="84"/>
      <c r="G13" s="84"/>
      <c r="H13" s="84"/>
      <c r="I13" s="84"/>
      <c r="J13" s="84"/>
      <c r="K13" s="84"/>
      <c r="L13" s="84"/>
      <c r="M13" s="84"/>
      <c r="N13" s="84"/>
      <c r="O13" s="84"/>
      <c r="P13" s="84"/>
      <c r="Q13" s="84"/>
      <c r="R13" s="84"/>
      <c r="S13" s="84"/>
      <c r="T13" s="84"/>
      <c r="U13" s="84"/>
    </row>
    <row r="14" spans="1:21" x14ac:dyDescent="0.3">
      <c r="A14" s="104"/>
      <c r="B14" s="104"/>
      <c r="C14" s="104" t="s">
        <v>134</v>
      </c>
      <c r="D14" s="104" t="s">
        <v>139</v>
      </c>
      <c r="E14" s="84"/>
      <c r="F14" s="84"/>
      <c r="G14" s="84"/>
      <c r="H14" s="84"/>
      <c r="I14" s="84"/>
      <c r="J14" s="84"/>
      <c r="K14" s="84"/>
      <c r="L14" s="84"/>
      <c r="M14" s="84"/>
      <c r="N14" s="84"/>
      <c r="O14" s="84"/>
      <c r="P14" s="84"/>
      <c r="Q14" s="84"/>
      <c r="R14" s="84"/>
      <c r="S14" s="84"/>
      <c r="T14" s="84"/>
      <c r="U14" s="84"/>
    </row>
    <row r="15" spans="1:21" x14ac:dyDescent="0.3">
      <c r="A15" s="104"/>
      <c r="B15" s="104"/>
      <c r="C15" s="104" t="s">
        <v>135</v>
      </c>
      <c r="D15" s="104" t="s">
        <v>140</v>
      </c>
      <c r="E15" s="84"/>
      <c r="F15" s="84"/>
      <c r="G15" s="84"/>
      <c r="H15" s="84"/>
      <c r="I15" s="84"/>
      <c r="J15" s="84"/>
      <c r="K15" s="84"/>
      <c r="L15" s="84"/>
      <c r="M15" s="84"/>
      <c r="N15" s="84"/>
      <c r="O15" s="84"/>
      <c r="P15" s="84"/>
      <c r="Q15" s="84"/>
      <c r="R15" s="84"/>
      <c r="S15" s="84"/>
      <c r="T15" s="84"/>
      <c r="U15" s="84"/>
    </row>
    <row r="16" spans="1:21" x14ac:dyDescent="0.3">
      <c r="A16" s="104"/>
      <c r="B16" s="104"/>
      <c r="C16" s="104"/>
      <c r="D16" s="104"/>
      <c r="E16" s="84"/>
      <c r="F16" s="84"/>
      <c r="G16" s="84"/>
      <c r="H16" s="84"/>
      <c r="I16" s="84"/>
      <c r="J16" s="84"/>
      <c r="K16" s="84"/>
      <c r="L16" s="84"/>
      <c r="M16" s="84"/>
      <c r="N16" s="84"/>
      <c r="O16" s="84"/>
    </row>
    <row r="17" spans="1:15" x14ac:dyDescent="0.3">
      <c r="A17" s="104"/>
      <c r="B17" s="104"/>
      <c r="C17" s="104"/>
      <c r="D17" s="104"/>
      <c r="E17" s="84"/>
      <c r="F17" s="84"/>
      <c r="G17" s="84"/>
      <c r="H17" s="84"/>
      <c r="I17" s="84"/>
      <c r="J17" s="84"/>
      <c r="K17" s="84"/>
      <c r="L17" s="84"/>
      <c r="M17" s="84"/>
      <c r="N17" s="84"/>
      <c r="O17" s="84"/>
    </row>
    <row r="18" spans="1:15" x14ac:dyDescent="0.3">
      <c r="A18" s="104"/>
      <c r="B18" s="108"/>
      <c r="C18" s="108"/>
      <c r="D18" s="108"/>
      <c r="E18" s="84"/>
      <c r="F18" s="84"/>
      <c r="G18" s="84"/>
      <c r="H18" s="84"/>
      <c r="I18" s="84"/>
      <c r="J18" s="84"/>
      <c r="K18" s="84"/>
      <c r="L18" s="84"/>
      <c r="M18" s="84"/>
      <c r="N18" s="84"/>
      <c r="O18" s="84"/>
    </row>
    <row r="19" spans="1:15" x14ac:dyDescent="0.3">
      <c r="A19" s="104"/>
      <c r="B19" s="108"/>
      <c r="C19" s="108"/>
      <c r="D19" s="108"/>
      <c r="E19" s="84"/>
      <c r="F19" s="84"/>
      <c r="G19" s="84"/>
      <c r="H19" s="84"/>
      <c r="I19" s="84"/>
      <c r="J19" s="84"/>
      <c r="K19" s="84"/>
      <c r="L19" s="84"/>
      <c r="M19" s="84"/>
      <c r="N19" s="84"/>
      <c r="O19" s="84"/>
    </row>
    <row r="20" spans="1:15" x14ac:dyDescent="0.3">
      <c r="A20" s="104"/>
      <c r="B20" s="108"/>
      <c r="C20" s="108"/>
      <c r="D20" s="108"/>
      <c r="E20" s="84"/>
      <c r="F20" s="84"/>
      <c r="G20" s="84"/>
      <c r="H20" s="84"/>
      <c r="I20" s="84"/>
      <c r="J20" s="84"/>
      <c r="K20" s="84"/>
      <c r="L20" s="84"/>
      <c r="M20" s="84"/>
      <c r="N20" s="84"/>
      <c r="O20" s="84"/>
    </row>
    <row r="21" spans="1:15" x14ac:dyDescent="0.3">
      <c r="A21" s="104"/>
      <c r="B21" s="108"/>
      <c r="C21" s="108"/>
      <c r="D21" s="108"/>
      <c r="E21" s="84"/>
      <c r="F21" s="84"/>
      <c r="G21" s="84"/>
      <c r="H21" s="84"/>
      <c r="I21" s="84"/>
      <c r="J21" s="84"/>
      <c r="K21" s="84"/>
      <c r="L21" s="84"/>
      <c r="M21" s="84"/>
      <c r="N21" s="84"/>
      <c r="O21" s="84"/>
    </row>
    <row r="22" spans="1:15" ht="20.399999999999999" x14ac:dyDescent="0.3">
      <c r="A22" s="104"/>
      <c r="B22" s="104"/>
      <c r="C22" s="106"/>
      <c r="D22" s="106"/>
      <c r="E22" s="84"/>
      <c r="F22" s="84"/>
      <c r="G22" s="84"/>
      <c r="H22" s="84"/>
      <c r="I22" s="84"/>
      <c r="J22" s="84"/>
      <c r="K22" s="84"/>
      <c r="L22" s="84"/>
      <c r="M22" s="84"/>
      <c r="N22" s="84"/>
      <c r="O22" s="84"/>
    </row>
    <row r="23" spans="1:15" ht="20.399999999999999" x14ac:dyDescent="0.3">
      <c r="A23" s="104"/>
      <c r="B23" s="104"/>
      <c r="C23" s="106"/>
      <c r="D23" s="106"/>
      <c r="E23" s="84"/>
      <c r="F23" s="84"/>
      <c r="G23" s="84"/>
      <c r="H23" s="84"/>
      <c r="I23" s="84"/>
      <c r="J23" s="84"/>
      <c r="K23" s="84"/>
      <c r="L23" s="84"/>
      <c r="M23" s="84"/>
      <c r="N23" s="84"/>
      <c r="O23" s="84"/>
    </row>
    <row r="24" spans="1:15" ht="20.399999999999999" x14ac:dyDescent="0.3">
      <c r="A24" s="104"/>
      <c r="B24" s="104"/>
      <c r="C24" s="106"/>
      <c r="D24" s="106"/>
      <c r="E24" s="84"/>
      <c r="F24" s="84"/>
      <c r="G24" s="84"/>
      <c r="H24" s="84"/>
      <c r="I24" s="84"/>
      <c r="J24" s="84"/>
      <c r="K24" s="84"/>
      <c r="L24" s="84"/>
      <c r="M24" s="84"/>
      <c r="N24" s="84"/>
      <c r="O24" s="84"/>
    </row>
    <row r="25" spans="1:15" ht="20.399999999999999" x14ac:dyDescent="0.3">
      <c r="A25" s="104"/>
      <c r="B25" s="104"/>
      <c r="C25" s="106"/>
      <c r="D25" s="106"/>
      <c r="E25" s="84"/>
      <c r="F25" s="84"/>
      <c r="G25" s="84"/>
      <c r="H25" s="84"/>
      <c r="I25" s="84"/>
      <c r="J25" s="84"/>
      <c r="K25" s="84"/>
      <c r="L25" s="84"/>
      <c r="M25" s="84"/>
      <c r="N25" s="84"/>
      <c r="O25" s="84"/>
    </row>
    <row r="26" spans="1:15" ht="20.399999999999999" x14ac:dyDescent="0.3">
      <c r="A26" s="104"/>
      <c r="B26" s="104"/>
      <c r="C26" s="106"/>
      <c r="D26" s="106"/>
      <c r="E26" s="84"/>
      <c r="F26" s="84"/>
      <c r="G26" s="84"/>
      <c r="H26" s="84"/>
      <c r="I26" s="84"/>
      <c r="J26" s="84"/>
      <c r="K26" s="84"/>
      <c r="L26" s="84"/>
      <c r="M26" s="84"/>
      <c r="N26" s="84"/>
      <c r="O26" s="84"/>
    </row>
    <row r="27" spans="1:15" ht="20.399999999999999" x14ac:dyDescent="0.3">
      <c r="A27" s="104"/>
      <c r="B27" s="104"/>
      <c r="C27" s="106"/>
      <c r="D27" s="106"/>
      <c r="E27" s="84"/>
      <c r="F27" s="84"/>
      <c r="G27" s="84"/>
      <c r="H27" s="84"/>
      <c r="I27" s="84"/>
      <c r="J27" s="84"/>
      <c r="K27" s="84"/>
      <c r="L27" s="84"/>
      <c r="M27" s="84"/>
      <c r="N27" s="84"/>
      <c r="O27" s="84"/>
    </row>
    <row r="28" spans="1:15" ht="20.399999999999999" x14ac:dyDescent="0.3">
      <c r="A28" s="104"/>
      <c r="B28" s="104"/>
      <c r="C28" s="106"/>
      <c r="D28" s="106"/>
      <c r="E28" s="84"/>
      <c r="F28" s="84"/>
      <c r="G28" s="84"/>
      <c r="H28" s="84"/>
      <c r="I28" s="84"/>
      <c r="J28" s="84"/>
      <c r="K28" s="84"/>
      <c r="L28" s="84"/>
      <c r="M28" s="84"/>
      <c r="N28" s="84"/>
      <c r="O28" s="84"/>
    </row>
    <row r="29" spans="1:15" ht="20.399999999999999" x14ac:dyDescent="0.3">
      <c r="A29" s="104"/>
      <c r="B29" s="104"/>
      <c r="C29" s="106"/>
      <c r="D29" s="106"/>
      <c r="E29" s="84"/>
      <c r="F29" s="84"/>
      <c r="G29" s="84"/>
      <c r="H29" s="84"/>
      <c r="I29" s="84"/>
      <c r="J29" s="84"/>
      <c r="K29" s="84"/>
      <c r="L29" s="84"/>
      <c r="M29" s="84"/>
      <c r="N29" s="84"/>
      <c r="O29" s="84"/>
    </row>
    <row r="30" spans="1:15" ht="20.399999999999999" x14ac:dyDescent="0.3">
      <c r="A30" s="104"/>
      <c r="B30" s="104"/>
      <c r="C30" s="106"/>
      <c r="D30" s="106"/>
      <c r="E30" s="84"/>
      <c r="F30" s="84"/>
      <c r="G30" s="84"/>
      <c r="H30" s="84"/>
      <c r="I30" s="84"/>
      <c r="J30" s="84"/>
      <c r="K30" s="84"/>
      <c r="L30" s="84"/>
      <c r="M30" s="84"/>
      <c r="N30" s="84"/>
      <c r="O30" s="84"/>
    </row>
    <row r="31" spans="1:15" ht="20.399999999999999" x14ac:dyDescent="0.3">
      <c r="A31" s="104"/>
      <c r="B31" s="104"/>
      <c r="C31" s="106"/>
      <c r="D31" s="106"/>
      <c r="E31" s="84"/>
      <c r="F31" s="84"/>
      <c r="G31" s="84"/>
      <c r="H31" s="84"/>
      <c r="I31" s="84"/>
      <c r="J31" s="84"/>
      <c r="K31" s="84"/>
      <c r="L31" s="84"/>
      <c r="M31" s="84"/>
      <c r="N31" s="84"/>
      <c r="O31" s="84"/>
    </row>
    <row r="32" spans="1:15" ht="20.399999999999999" x14ac:dyDescent="0.3">
      <c r="A32" s="104"/>
      <c r="B32" s="104"/>
      <c r="C32" s="106"/>
      <c r="D32" s="106"/>
      <c r="E32" s="84"/>
      <c r="F32" s="84"/>
      <c r="G32" s="84"/>
      <c r="H32" s="84"/>
      <c r="I32" s="84"/>
      <c r="J32" s="84"/>
      <c r="K32" s="84"/>
      <c r="L32" s="84"/>
      <c r="M32" s="84"/>
      <c r="N32" s="84"/>
      <c r="O32" s="84"/>
    </row>
    <row r="33" spans="1:15" ht="20.399999999999999" x14ac:dyDescent="0.3">
      <c r="A33" s="104"/>
      <c r="B33" s="104"/>
      <c r="C33" s="106"/>
      <c r="D33" s="106"/>
      <c r="E33" s="84"/>
      <c r="F33" s="84"/>
      <c r="G33" s="84"/>
      <c r="H33" s="84"/>
      <c r="I33" s="84"/>
      <c r="J33" s="84"/>
      <c r="K33" s="84"/>
      <c r="L33" s="84"/>
      <c r="M33" s="84"/>
      <c r="N33" s="84"/>
      <c r="O33" s="84"/>
    </row>
    <row r="34" spans="1:15" ht="20.399999999999999" x14ac:dyDescent="0.3">
      <c r="A34" s="104"/>
      <c r="B34" s="104"/>
      <c r="C34" s="106"/>
      <c r="D34" s="106"/>
      <c r="E34" s="84"/>
      <c r="F34" s="84"/>
      <c r="G34" s="84"/>
      <c r="H34" s="84"/>
      <c r="I34" s="84"/>
      <c r="J34" s="84"/>
      <c r="K34" s="84"/>
      <c r="L34" s="84"/>
      <c r="M34" s="84"/>
      <c r="N34" s="84"/>
      <c r="O34" s="84"/>
    </row>
    <row r="35" spans="1:15" ht="20.399999999999999" x14ac:dyDescent="0.3">
      <c r="A35" s="104"/>
      <c r="B35" s="104"/>
      <c r="C35" s="106"/>
      <c r="D35" s="106"/>
      <c r="E35" s="84"/>
      <c r="F35" s="84"/>
      <c r="G35" s="84"/>
      <c r="H35" s="84"/>
      <c r="I35" s="84"/>
      <c r="J35" s="84"/>
      <c r="K35" s="84"/>
      <c r="L35" s="84"/>
      <c r="M35" s="84"/>
      <c r="N35" s="84"/>
      <c r="O35" s="84"/>
    </row>
    <row r="36" spans="1:15" ht="20.399999999999999" x14ac:dyDescent="0.3">
      <c r="A36" s="104"/>
      <c r="B36" s="104"/>
      <c r="C36" s="106"/>
      <c r="D36" s="106"/>
      <c r="E36" s="84"/>
      <c r="F36" s="84"/>
      <c r="G36" s="84"/>
      <c r="H36" s="84"/>
      <c r="I36" s="84"/>
      <c r="J36" s="84"/>
      <c r="K36" s="84"/>
      <c r="L36" s="84"/>
      <c r="M36" s="84"/>
      <c r="N36" s="84"/>
      <c r="O36" s="84"/>
    </row>
    <row r="37" spans="1:15" ht="20.399999999999999" x14ac:dyDescent="0.3">
      <c r="A37" s="104"/>
      <c r="B37" s="104"/>
      <c r="C37" s="106"/>
      <c r="D37" s="106"/>
      <c r="E37" s="84"/>
      <c r="F37" s="84"/>
      <c r="G37" s="84"/>
      <c r="H37" s="84"/>
      <c r="I37" s="84"/>
      <c r="J37" s="84"/>
      <c r="K37" s="84"/>
      <c r="L37" s="84"/>
      <c r="M37" s="84"/>
      <c r="N37" s="84"/>
      <c r="O37" s="84"/>
    </row>
    <row r="38" spans="1:15" ht="20.399999999999999" x14ac:dyDescent="0.3">
      <c r="A38" s="104"/>
      <c r="B38" s="104"/>
      <c r="C38" s="106"/>
      <c r="D38" s="106"/>
      <c r="E38" s="84"/>
      <c r="F38" s="84"/>
      <c r="G38" s="84"/>
      <c r="H38" s="84"/>
      <c r="I38" s="84"/>
      <c r="J38" s="84"/>
      <c r="K38" s="84"/>
      <c r="L38" s="84"/>
      <c r="M38" s="84"/>
      <c r="N38" s="84"/>
      <c r="O38" s="84"/>
    </row>
    <row r="39" spans="1:15" ht="20.399999999999999" x14ac:dyDescent="0.3">
      <c r="A39" s="104"/>
      <c r="B39" s="104"/>
      <c r="C39" s="106"/>
      <c r="D39" s="106"/>
      <c r="E39" s="84"/>
      <c r="F39" s="84"/>
      <c r="G39" s="84"/>
      <c r="H39" s="84"/>
      <c r="I39" s="84"/>
      <c r="J39" s="84"/>
      <c r="K39" s="84"/>
      <c r="L39" s="84"/>
      <c r="M39" s="84"/>
      <c r="N39" s="84"/>
      <c r="O39" s="84"/>
    </row>
    <row r="40" spans="1:15" ht="20.399999999999999" x14ac:dyDescent="0.3">
      <c r="A40" s="104"/>
      <c r="B40" s="104"/>
      <c r="C40" s="106"/>
      <c r="D40" s="106"/>
      <c r="E40" s="84"/>
      <c r="F40" s="84"/>
      <c r="G40" s="84"/>
      <c r="H40" s="84"/>
      <c r="I40" s="84"/>
      <c r="J40" s="84"/>
      <c r="K40" s="84"/>
      <c r="L40" s="84"/>
      <c r="M40" s="84"/>
      <c r="N40" s="84"/>
      <c r="O40" s="84"/>
    </row>
    <row r="41" spans="1:15" ht="20.399999999999999" x14ac:dyDescent="0.3">
      <c r="A41" s="104"/>
      <c r="B41" s="104"/>
      <c r="C41" s="106"/>
      <c r="D41" s="106"/>
      <c r="E41" s="84"/>
      <c r="F41" s="84"/>
      <c r="G41" s="84"/>
      <c r="H41" s="84"/>
      <c r="I41" s="84"/>
      <c r="J41" s="84"/>
      <c r="K41" s="84"/>
      <c r="L41" s="84"/>
      <c r="M41" s="84"/>
      <c r="N41" s="84"/>
      <c r="O41" s="84"/>
    </row>
    <row r="42" spans="1:15" ht="20.399999999999999" x14ac:dyDescent="0.3">
      <c r="A42" s="104"/>
      <c r="B42" s="104"/>
      <c r="C42" s="106"/>
      <c r="D42" s="106"/>
      <c r="E42" s="84"/>
      <c r="F42" s="84"/>
      <c r="G42" s="84"/>
      <c r="H42" s="84"/>
      <c r="I42" s="84"/>
      <c r="J42" s="84"/>
      <c r="K42" s="84"/>
      <c r="L42" s="84"/>
      <c r="M42" s="84"/>
      <c r="N42" s="84"/>
      <c r="O42" s="84"/>
    </row>
    <row r="43" spans="1:15" ht="20.399999999999999" x14ac:dyDescent="0.3">
      <c r="A43" s="104"/>
      <c r="B43" s="104"/>
      <c r="C43" s="106"/>
      <c r="D43" s="106"/>
      <c r="E43" s="84"/>
      <c r="F43" s="84"/>
      <c r="G43" s="84"/>
      <c r="H43" s="84"/>
      <c r="I43" s="84"/>
      <c r="J43" s="84"/>
      <c r="K43" s="84"/>
      <c r="L43" s="84"/>
      <c r="M43" s="84"/>
      <c r="N43" s="84"/>
      <c r="O43" s="84"/>
    </row>
    <row r="44" spans="1:15" ht="20.399999999999999" x14ac:dyDescent="0.3">
      <c r="A44" s="104"/>
      <c r="B44" s="104"/>
      <c r="C44" s="106"/>
      <c r="D44" s="106"/>
      <c r="E44" s="84"/>
      <c r="F44" s="84"/>
      <c r="G44" s="84"/>
      <c r="H44" s="84"/>
      <c r="I44" s="84"/>
      <c r="J44" s="84"/>
      <c r="K44" s="84"/>
      <c r="L44" s="84"/>
      <c r="M44" s="84"/>
      <c r="N44" s="84"/>
      <c r="O44" s="84"/>
    </row>
    <row r="45" spans="1:15" ht="20.399999999999999" x14ac:dyDescent="0.3">
      <c r="A45" s="104"/>
      <c r="B45" s="104"/>
      <c r="C45" s="106"/>
      <c r="D45" s="106"/>
      <c r="E45" s="84"/>
      <c r="F45" s="84"/>
      <c r="G45" s="84"/>
      <c r="H45" s="84"/>
      <c r="I45" s="84"/>
      <c r="J45" s="84"/>
      <c r="K45" s="84"/>
      <c r="L45" s="84"/>
      <c r="M45" s="84"/>
      <c r="N45" s="84"/>
      <c r="O45" s="84"/>
    </row>
    <row r="46" spans="1:15" ht="20.399999999999999" x14ac:dyDescent="0.3">
      <c r="A46" s="104"/>
      <c r="B46" s="104"/>
      <c r="C46" s="106"/>
      <c r="D46" s="106"/>
      <c r="E46" s="84"/>
      <c r="F46" s="84"/>
      <c r="G46" s="84"/>
      <c r="H46" s="84"/>
      <c r="I46" s="84"/>
      <c r="J46" s="84"/>
      <c r="K46" s="84"/>
      <c r="L46" s="84"/>
      <c r="M46" s="84"/>
      <c r="N46" s="84"/>
      <c r="O46" s="84"/>
    </row>
    <row r="47" spans="1:15" ht="20.399999999999999" x14ac:dyDescent="0.3">
      <c r="A47" s="104"/>
      <c r="B47" s="104"/>
      <c r="C47" s="106"/>
      <c r="D47" s="106"/>
      <c r="E47" s="84"/>
      <c r="F47" s="84"/>
      <c r="G47" s="84"/>
      <c r="H47" s="84"/>
      <c r="I47" s="84"/>
      <c r="J47" s="84"/>
      <c r="K47" s="84"/>
      <c r="L47" s="84"/>
      <c r="M47" s="84"/>
      <c r="N47" s="84"/>
      <c r="O47" s="84"/>
    </row>
    <row r="48" spans="1:15" ht="20.399999999999999" x14ac:dyDescent="0.3">
      <c r="A48" s="104"/>
      <c r="B48" s="104"/>
      <c r="C48" s="106"/>
      <c r="D48" s="106"/>
      <c r="E48" s="84"/>
      <c r="F48" s="84"/>
      <c r="G48" s="84"/>
      <c r="H48" s="84"/>
      <c r="I48" s="84"/>
      <c r="J48" s="84"/>
      <c r="K48" s="84"/>
      <c r="L48" s="84"/>
      <c r="M48" s="84"/>
      <c r="N48" s="84"/>
      <c r="O48" s="84"/>
    </row>
    <row r="49" spans="1:15" ht="20.399999999999999" x14ac:dyDescent="0.3">
      <c r="A49" s="104"/>
      <c r="B49" s="104"/>
      <c r="C49" s="106"/>
      <c r="D49" s="106"/>
      <c r="E49" s="84"/>
      <c r="F49" s="84"/>
      <c r="G49" s="84"/>
      <c r="H49" s="84"/>
      <c r="I49" s="84"/>
      <c r="J49" s="84"/>
      <c r="K49" s="84"/>
      <c r="L49" s="84"/>
      <c r="M49" s="84"/>
      <c r="N49" s="84"/>
      <c r="O49" s="84"/>
    </row>
    <row r="50" spans="1:15" ht="20.399999999999999" x14ac:dyDescent="0.3">
      <c r="A50" s="104"/>
      <c r="B50" s="104"/>
      <c r="C50" s="106"/>
      <c r="D50" s="106"/>
      <c r="E50" s="84"/>
      <c r="F50" s="84"/>
      <c r="G50" s="84"/>
      <c r="H50" s="84"/>
      <c r="I50" s="84"/>
      <c r="J50" s="84"/>
      <c r="K50" s="84"/>
      <c r="L50" s="84"/>
      <c r="M50" s="84"/>
      <c r="N50" s="84"/>
      <c r="O50" s="84"/>
    </row>
    <row r="51" spans="1:15" ht="20.399999999999999" x14ac:dyDescent="0.3">
      <c r="A51" s="104"/>
      <c r="B51" s="104"/>
      <c r="C51" s="106"/>
      <c r="D51" s="106"/>
      <c r="E51" s="84"/>
      <c r="F51" s="84"/>
      <c r="G51" s="84"/>
      <c r="H51" s="84"/>
      <c r="I51" s="84"/>
      <c r="J51" s="84"/>
      <c r="K51" s="84"/>
      <c r="L51" s="84"/>
      <c r="M51" s="84"/>
      <c r="N51" s="84"/>
      <c r="O51" s="84"/>
    </row>
    <row r="52" spans="1:15" ht="20.399999999999999" x14ac:dyDescent="0.3">
      <c r="A52" s="104"/>
      <c r="B52" s="23"/>
      <c r="C52" s="34"/>
      <c r="D52" s="34"/>
    </row>
    <row r="53" spans="1:15" ht="20.399999999999999" x14ac:dyDescent="0.3">
      <c r="A53" s="104"/>
      <c r="B53" s="23"/>
      <c r="C53" s="34"/>
      <c r="D53" s="34"/>
    </row>
    <row r="54" spans="1:15" ht="20.399999999999999" x14ac:dyDescent="0.3">
      <c r="A54" s="104"/>
      <c r="B54" s="23"/>
      <c r="C54" s="34"/>
      <c r="D54" s="34"/>
    </row>
    <row r="55" spans="1:15" ht="20.399999999999999" x14ac:dyDescent="0.3">
      <c r="A55" s="104"/>
      <c r="B55" s="23"/>
      <c r="C55" s="34"/>
      <c r="D55" s="34"/>
    </row>
    <row r="56" spans="1:15" ht="20.399999999999999" x14ac:dyDescent="0.3">
      <c r="A56" s="104"/>
      <c r="B56" s="23"/>
      <c r="C56" s="34"/>
      <c r="D56" s="34"/>
    </row>
    <row r="57" spans="1:15" ht="20.399999999999999" x14ac:dyDescent="0.3">
      <c r="A57" s="104"/>
      <c r="B57" s="23"/>
      <c r="C57" s="34"/>
      <c r="D57" s="34"/>
    </row>
    <row r="58" spans="1:15" ht="20.399999999999999" x14ac:dyDescent="0.3">
      <c r="A58" s="104"/>
      <c r="B58" s="23"/>
      <c r="C58" s="34"/>
      <c r="D58" s="34"/>
    </row>
    <row r="59" spans="1:15" ht="20.399999999999999" x14ac:dyDescent="0.3">
      <c r="A59" s="104"/>
      <c r="B59" s="23"/>
      <c r="C59" s="34"/>
      <c r="D59" s="34"/>
    </row>
    <row r="60" spans="1:15" ht="20.399999999999999" x14ac:dyDescent="0.3">
      <c r="A60" s="104"/>
      <c r="B60" s="23"/>
      <c r="C60" s="34"/>
      <c r="D60" s="34"/>
    </row>
    <row r="61" spans="1:15" ht="20.399999999999999" x14ac:dyDescent="0.3">
      <c r="A61" s="104"/>
      <c r="B61" s="23"/>
      <c r="C61" s="34"/>
      <c r="D61" s="34"/>
    </row>
    <row r="62" spans="1:15" ht="20.399999999999999" x14ac:dyDescent="0.3">
      <c r="A62" s="104"/>
      <c r="B62" s="23"/>
      <c r="C62" s="34"/>
      <c r="D62" s="34"/>
    </row>
    <row r="63" spans="1:15" ht="20.399999999999999" x14ac:dyDescent="0.3">
      <c r="A63" s="104"/>
      <c r="B63" s="23"/>
      <c r="C63" s="34"/>
      <c r="D63" s="34"/>
    </row>
    <row r="64" spans="1:15" ht="20.399999999999999" x14ac:dyDescent="0.3">
      <c r="A64" s="104"/>
      <c r="B64" s="23"/>
      <c r="C64" s="34"/>
      <c r="D64" s="34"/>
    </row>
    <row r="65" spans="1:4" ht="20.399999999999999" x14ac:dyDescent="0.3">
      <c r="A65" s="104"/>
      <c r="B65" s="23"/>
      <c r="C65" s="34"/>
      <c r="D65" s="34"/>
    </row>
    <row r="66" spans="1:4" ht="20.399999999999999" x14ac:dyDescent="0.3">
      <c r="A66" s="104"/>
      <c r="B66" s="23"/>
      <c r="C66" s="34"/>
      <c r="D66" s="34"/>
    </row>
    <row r="67" spans="1:4" ht="20.399999999999999" x14ac:dyDescent="0.3">
      <c r="A67" s="104"/>
      <c r="B67" s="23"/>
      <c r="C67" s="34"/>
      <c r="D67" s="34"/>
    </row>
    <row r="68" spans="1:4" ht="20.399999999999999" x14ac:dyDescent="0.3">
      <c r="A68" s="104"/>
      <c r="B68" s="23"/>
      <c r="C68" s="34"/>
      <c r="D68" s="34"/>
    </row>
    <row r="69" spans="1:4" ht="20.399999999999999" x14ac:dyDescent="0.3">
      <c r="A69" s="104"/>
      <c r="B69" s="23"/>
      <c r="C69" s="34"/>
      <c r="D69" s="34"/>
    </row>
    <row r="70" spans="1:4" ht="20.399999999999999" x14ac:dyDescent="0.3">
      <c r="A70" s="104"/>
      <c r="B70" s="23"/>
      <c r="C70" s="34"/>
      <c r="D70" s="34"/>
    </row>
    <row r="71" spans="1:4" ht="20.399999999999999" x14ac:dyDescent="0.3">
      <c r="A71" s="104"/>
      <c r="B71" s="23"/>
      <c r="C71" s="34"/>
      <c r="D71" s="34"/>
    </row>
    <row r="72" spans="1:4" ht="20.399999999999999" x14ac:dyDescent="0.3">
      <c r="A72" s="104"/>
      <c r="B72" s="23"/>
      <c r="C72" s="34"/>
      <c r="D72" s="34"/>
    </row>
    <row r="73" spans="1:4" ht="20.399999999999999" x14ac:dyDescent="0.3">
      <c r="A73" s="104"/>
      <c r="B73" s="23"/>
      <c r="C73" s="34"/>
      <c r="D73" s="34"/>
    </row>
    <row r="74" spans="1:4" ht="20.399999999999999" x14ac:dyDescent="0.3">
      <c r="A74" s="104"/>
      <c r="B74" s="23"/>
      <c r="C74" s="34"/>
      <c r="D74" s="34"/>
    </row>
    <row r="75" spans="1:4" ht="20.399999999999999" x14ac:dyDescent="0.3">
      <c r="A75" s="104"/>
      <c r="B75" s="23"/>
      <c r="C75" s="34"/>
      <c r="D75" s="34"/>
    </row>
    <row r="76" spans="1:4" ht="20.399999999999999" x14ac:dyDescent="0.3">
      <c r="A76" s="104"/>
      <c r="B76" s="23"/>
      <c r="C76" s="34"/>
      <c r="D76" s="34"/>
    </row>
    <row r="77" spans="1:4" ht="20.399999999999999" x14ac:dyDescent="0.3">
      <c r="A77" s="104"/>
      <c r="B77" s="23"/>
      <c r="C77" s="34"/>
      <c r="D77" s="34"/>
    </row>
    <row r="78" spans="1:4" ht="20.399999999999999" x14ac:dyDescent="0.3">
      <c r="A78" s="104"/>
      <c r="B78" s="23"/>
      <c r="C78" s="34"/>
      <c r="D78" s="34"/>
    </row>
    <row r="79" spans="1:4" ht="20.399999999999999" x14ac:dyDescent="0.3">
      <c r="A79" s="104"/>
      <c r="B79" s="23"/>
      <c r="C79" s="34"/>
      <c r="D79" s="34"/>
    </row>
    <row r="80" spans="1:4" ht="20.399999999999999" x14ac:dyDescent="0.3">
      <c r="A80" s="104"/>
      <c r="B80" s="23"/>
      <c r="C80" s="34"/>
      <c r="D80" s="34"/>
    </row>
    <row r="81" spans="1:4" ht="20.399999999999999" x14ac:dyDescent="0.3">
      <c r="A81" s="104"/>
      <c r="B81" s="23"/>
      <c r="C81" s="34"/>
      <c r="D81" s="34"/>
    </row>
    <row r="82" spans="1:4" ht="20.399999999999999" x14ac:dyDescent="0.3">
      <c r="A82" s="104"/>
      <c r="B82" s="23"/>
      <c r="C82" s="34"/>
      <c r="D82" s="34"/>
    </row>
    <row r="83" spans="1:4" ht="20.399999999999999" x14ac:dyDescent="0.3">
      <c r="A83" s="104"/>
      <c r="B83" s="23"/>
      <c r="C83" s="34"/>
      <c r="D83" s="34"/>
    </row>
    <row r="84" spans="1:4" ht="20.399999999999999" x14ac:dyDescent="0.3">
      <c r="A84" s="104"/>
      <c r="B84" s="23"/>
      <c r="C84" s="34"/>
      <c r="D84" s="34"/>
    </row>
    <row r="85" spans="1:4" ht="20.399999999999999" x14ac:dyDescent="0.3">
      <c r="A85" s="104"/>
      <c r="B85" s="23"/>
      <c r="C85" s="34"/>
      <c r="D85" s="34"/>
    </row>
    <row r="86" spans="1:4" ht="20.399999999999999" x14ac:dyDescent="0.3">
      <c r="A86" s="104"/>
      <c r="B86" s="23"/>
      <c r="C86" s="34"/>
      <c r="D86" s="34"/>
    </row>
    <row r="87" spans="1:4" ht="20.399999999999999" x14ac:dyDescent="0.3">
      <c r="A87" s="104"/>
      <c r="B87" s="23"/>
      <c r="C87" s="34"/>
      <c r="D87" s="34"/>
    </row>
    <row r="88" spans="1:4" ht="20.399999999999999" x14ac:dyDescent="0.3">
      <c r="A88" s="104"/>
      <c r="B88" s="23"/>
      <c r="C88" s="34"/>
      <c r="D88" s="34"/>
    </row>
    <row r="89" spans="1:4" ht="20.399999999999999" x14ac:dyDescent="0.3">
      <c r="A89" s="104"/>
      <c r="B89" s="23"/>
      <c r="C89" s="34"/>
      <c r="D89" s="34"/>
    </row>
    <row r="90" spans="1:4" ht="20.399999999999999" x14ac:dyDescent="0.3">
      <c r="A90" s="104"/>
      <c r="B90" s="23"/>
      <c r="C90" s="34"/>
      <c r="D90" s="34"/>
    </row>
    <row r="91" spans="1:4" ht="20.399999999999999" x14ac:dyDescent="0.3">
      <c r="A91" s="104"/>
      <c r="B91" s="23"/>
      <c r="C91" s="34"/>
      <c r="D91" s="34"/>
    </row>
    <row r="92" spans="1:4" ht="20.399999999999999" x14ac:dyDescent="0.3">
      <c r="A92" s="104"/>
      <c r="B92" s="23"/>
      <c r="C92" s="34"/>
      <c r="D92" s="34"/>
    </row>
    <row r="93" spans="1:4" ht="20.399999999999999" x14ac:dyDescent="0.3">
      <c r="A93" s="104"/>
      <c r="B93" s="23"/>
      <c r="C93" s="34"/>
      <c r="D93" s="34"/>
    </row>
    <row r="94" spans="1:4" ht="20.399999999999999" x14ac:dyDescent="0.3">
      <c r="A94" s="104"/>
      <c r="B94" s="23"/>
      <c r="C94" s="34"/>
      <c r="D94" s="34"/>
    </row>
    <row r="95" spans="1:4" ht="20.399999999999999" x14ac:dyDescent="0.3">
      <c r="A95" s="104"/>
      <c r="B95" s="23"/>
      <c r="C95" s="34"/>
      <c r="D95" s="34"/>
    </row>
    <row r="96" spans="1:4" ht="20.399999999999999" x14ac:dyDescent="0.3">
      <c r="A96" s="104"/>
      <c r="B96" s="23"/>
      <c r="C96" s="34"/>
      <c r="D96" s="34"/>
    </row>
    <row r="97" spans="1:4" ht="20.399999999999999" x14ac:dyDescent="0.3">
      <c r="A97" s="104"/>
      <c r="B97" s="23"/>
      <c r="C97" s="34"/>
      <c r="D97" s="34"/>
    </row>
    <row r="98" spans="1:4" ht="20.399999999999999" x14ac:dyDescent="0.3">
      <c r="A98" s="104"/>
      <c r="B98" s="23"/>
      <c r="C98" s="34"/>
      <c r="D98" s="34"/>
    </row>
    <row r="99" spans="1:4" ht="20.399999999999999" x14ac:dyDescent="0.3">
      <c r="A99" s="104"/>
      <c r="B99" s="23"/>
      <c r="C99" s="34"/>
      <c r="D99" s="34"/>
    </row>
    <row r="100" spans="1:4" ht="20.399999999999999" x14ac:dyDescent="0.3">
      <c r="A100" s="104"/>
      <c r="B100" s="23"/>
      <c r="C100" s="34"/>
      <c r="D100" s="34"/>
    </row>
    <row r="101" spans="1:4" ht="20.399999999999999" x14ac:dyDescent="0.3">
      <c r="A101" s="104"/>
      <c r="B101" s="23"/>
      <c r="C101" s="34"/>
      <c r="D101" s="34"/>
    </row>
    <row r="102" spans="1:4" ht="20.399999999999999" x14ac:dyDescent="0.3">
      <c r="A102" s="104"/>
      <c r="B102" s="23"/>
      <c r="C102" s="34"/>
      <c r="D102" s="34"/>
    </row>
    <row r="103" spans="1:4" ht="20.399999999999999" x14ac:dyDescent="0.3">
      <c r="A103" s="104"/>
      <c r="B103" s="23"/>
      <c r="C103" s="34"/>
      <c r="D103" s="34"/>
    </row>
    <row r="104" spans="1:4" ht="20.399999999999999" x14ac:dyDescent="0.3">
      <c r="A104" s="104"/>
      <c r="B104" s="23"/>
      <c r="C104" s="34"/>
      <c r="D104" s="34"/>
    </row>
    <row r="105" spans="1:4" ht="20.399999999999999" x14ac:dyDescent="0.3">
      <c r="A105" s="104"/>
      <c r="B105" s="23"/>
      <c r="C105" s="34"/>
      <c r="D105" s="34"/>
    </row>
    <row r="106" spans="1:4" ht="20.399999999999999" x14ac:dyDescent="0.3">
      <c r="A106" s="104"/>
      <c r="B106" s="23"/>
      <c r="C106" s="34"/>
      <c r="D106" s="34"/>
    </row>
    <row r="107" spans="1:4" ht="20.399999999999999" x14ac:dyDescent="0.3">
      <c r="A107" s="104"/>
      <c r="B107" s="23"/>
      <c r="C107" s="34"/>
      <c r="D107" s="34"/>
    </row>
    <row r="108" spans="1:4" ht="20.399999999999999" x14ac:dyDescent="0.3">
      <c r="A108" s="104"/>
      <c r="B108" s="23"/>
      <c r="C108" s="34"/>
      <c r="D108" s="34"/>
    </row>
    <row r="109" spans="1:4" ht="20.399999999999999" x14ac:dyDescent="0.3">
      <c r="A109" s="104"/>
      <c r="B109" s="23"/>
      <c r="C109" s="34"/>
      <c r="D109" s="34"/>
    </row>
    <row r="110" spans="1:4" ht="20.399999999999999" x14ac:dyDescent="0.3">
      <c r="A110" s="104"/>
      <c r="B110" s="23"/>
      <c r="C110" s="34"/>
      <c r="D110" s="34"/>
    </row>
    <row r="111" spans="1:4" ht="20.399999999999999" x14ac:dyDescent="0.3">
      <c r="A111" s="104"/>
      <c r="B111" s="23"/>
      <c r="C111" s="34"/>
      <c r="D111" s="34"/>
    </row>
    <row r="112" spans="1:4" ht="20.399999999999999" x14ac:dyDescent="0.3">
      <c r="A112" s="104"/>
      <c r="B112" s="23"/>
      <c r="C112" s="34"/>
      <c r="D112" s="34"/>
    </row>
    <row r="113" spans="1:4" ht="20.399999999999999" x14ac:dyDescent="0.3">
      <c r="A113" s="104"/>
      <c r="B113" s="23"/>
      <c r="C113" s="34"/>
      <c r="D113" s="34"/>
    </row>
    <row r="114" spans="1:4" ht="20.399999999999999" x14ac:dyDescent="0.3">
      <c r="A114" s="104"/>
      <c r="B114" s="23"/>
      <c r="C114" s="34"/>
      <c r="D114" s="34"/>
    </row>
    <row r="115" spans="1:4" ht="20.399999999999999" x14ac:dyDescent="0.3">
      <c r="A115" s="104"/>
      <c r="B115" s="23"/>
      <c r="C115" s="34"/>
      <c r="D115" s="34"/>
    </row>
    <row r="116" spans="1:4" ht="20.399999999999999" x14ac:dyDescent="0.3">
      <c r="A116" s="104"/>
      <c r="B116" s="23"/>
      <c r="C116" s="34"/>
      <c r="D116" s="34"/>
    </row>
    <row r="117" spans="1:4" ht="20.399999999999999" x14ac:dyDescent="0.3">
      <c r="A117" s="104"/>
      <c r="B117" s="23"/>
      <c r="C117" s="34"/>
      <c r="D117" s="34"/>
    </row>
    <row r="118" spans="1:4" ht="20.399999999999999" x14ac:dyDescent="0.3">
      <c r="A118" s="104"/>
      <c r="B118" s="23"/>
      <c r="C118" s="34"/>
      <c r="D118" s="34"/>
    </row>
    <row r="119" spans="1:4" ht="20.399999999999999" x14ac:dyDescent="0.3">
      <c r="A119" s="104"/>
      <c r="B119" s="23"/>
      <c r="C119" s="34"/>
      <c r="D119" s="34"/>
    </row>
    <row r="120" spans="1:4" ht="20.399999999999999" x14ac:dyDescent="0.3">
      <c r="A120" s="104"/>
      <c r="B120" s="23"/>
      <c r="C120" s="34"/>
      <c r="D120" s="34"/>
    </row>
    <row r="121" spans="1:4" ht="20.399999999999999" x14ac:dyDescent="0.3">
      <c r="A121" s="104"/>
      <c r="B121" s="23"/>
      <c r="C121" s="34"/>
      <c r="D121" s="34"/>
    </row>
    <row r="122" spans="1:4" ht="20.399999999999999" x14ac:dyDescent="0.3">
      <c r="A122" s="104"/>
      <c r="B122" s="23"/>
      <c r="C122" s="34"/>
      <c r="D122" s="34"/>
    </row>
    <row r="123" spans="1:4" ht="20.399999999999999" x14ac:dyDescent="0.3">
      <c r="A123" s="104"/>
      <c r="B123" s="23"/>
      <c r="C123" s="34"/>
      <c r="D123" s="34"/>
    </row>
    <row r="124" spans="1:4" ht="20.399999999999999" x14ac:dyDescent="0.3">
      <c r="A124" s="104"/>
      <c r="B124" s="23"/>
      <c r="C124" s="34"/>
      <c r="D124" s="34"/>
    </row>
    <row r="125" spans="1:4" ht="20.399999999999999" x14ac:dyDescent="0.3">
      <c r="A125" s="104"/>
      <c r="B125" s="23"/>
      <c r="C125" s="34"/>
      <c r="D125" s="34"/>
    </row>
    <row r="126" spans="1:4" ht="20.399999999999999" x14ac:dyDescent="0.3">
      <c r="A126" s="104"/>
      <c r="B126" s="23"/>
      <c r="C126" s="34"/>
      <c r="D126" s="34"/>
    </row>
    <row r="127" spans="1:4" ht="20.399999999999999" x14ac:dyDescent="0.3">
      <c r="A127" s="104"/>
      <c r="B127" s="23"/>
      <c r="C127" s="34"/>
      <c r="D127" s="34"/>
    </row>
    <row r="128" spans="1:4" ht="20.399999999999999" x14ac:dyDescent="0.3">
      <c r="A128" s="104"/>
      <c r="B128" s="23"/>
      <c r="C128" s="34"/>
      <c r="D128" s="34"/>
    </row>
    <row r="129" spans="1:4" ht="20.399999999999999" x14ac:dyDescent="0.3">
      <c r="A129" s="104"/>
      <c r="B129" s="23"/>
      <c r="C129" s="34"/>
      <c r="D129" s="34"/>
    </row>
    <row r="130" spans="1:4" ht="20.399999999999999" x14ac:dyDescent="0.3">
      <c r="A130" s="104"/>
      <c r="B130" s="23"/>
      <c r="C130" s="34"/>
      <c r="D130" s="34"/>
    </row>
    <row r="131" spans="1:4" ht="20.399999999999999" x14ac:dyDescent="0.3">
      <c r="A131" s="104"/>
      <c r="B131" s="23"/>
      <c r="C131" s="34"/>
      <c r="D131" s="34"/>
    </row>
    <row r="132" spans="1:4" ht="20.399999999999999" x14ac:dyDescent="0.3">
      <c r="A132" s="104"/>
      <c r="B132" s="23"/>
      <c r="C132" s="34"/>
      <c r="D132" s="34"/>
    </row>
    <row r="133" spans="1:4" ht="20.399999999999999" x14ac:dyDescent="0.3">
      <c r="A133" s="104"/>
      <c r="B133" s="23"/>
      <c r="C133" s="34"/>
      <c r="D133" s="34"/>
    </row>
    <row r="134" spans="1:4" ht="20.399999999999999" x14ac:dyDescent="0.3">
      <c r="A134" s="104"/>
      <c r="B134" s="23"/>
      <c r="C134" s="34"/>
      <c r="D134" s="34"/>
    </row>
    <row r="135" spans="1:4" ht="20.399999999999999" x14ac:dyDescent="0.3">
      <c r="A135" s="104"/>
      <c r="B135" s="23"/>
      <c r="C135" s="34"/>
      <c r="D135" s="34"/>
    </row>
    <row r="136" spans="1:4" ht="20.399999999999999" x14ac:dyDescent="0.3">
      <c r="A136" s="104"/>
      <c r="B136" s="23"/>
      <c r="C136" s="34"/>
      <c r="D136" s="34"/>
    </row>
    <row r="137" spans="1:4" ht="20.399999999999999" x14ac:dyDescent="0.3">
      <c r="A137" s="104"/>
      <c r="B137" s="23"/>
      <c r="C137" s="34"/>
      <c r="D137" s="34"/>
    </row>
    <row r="138" spans="1:4" ht="20.399999999999999" x14ac:dyDescent="0.3">
      <c r="A138" s="104"/>
      <c r="B138" s="23"/>
      <c r="C138" s="34"/>
      <c r="D138" s="34"/>
    </row>
    <row r="139" spans="1:4" ht="20.399999999999999" x14ac:dyDescent="0.3">
      <c r="A139" s="104"/>
      <c r="B139" s="23"/>
      <c r="C139" s="34"/>
      <c r="D139" s="34"/>
    </row>
    <row r="140" spans="1:4" ht="20.399999999999999" x14ac:dyDescent="0.3">
      <c r="A140" s="104"/>
      <c r="B140" s="23"/>
      <c r="C140" s="34"/>
      <c r="D140" s="34"/>
    </row>
    <row r="141" spans="1:4" ht="20.399999999999999" x14ac:dyDescent="0.3">
      <c r="A141" s="104"/>
      <c r="B141" s="23"/>
      <c r="C141" s="34"/>
      <c r="D141" s="34"/>
    </row>
    <row r="142" spans="1:4" ht="20.399999999999999" x14ac:dyDescent="0.3">
      <c r="A142" s="104"/>
      <c r="B142" s="23"/>
      <c r="C142" s="34"/>
      <c r="D142" s="34"/>
    </row>
    <row r="143" spans="1:4" ht="20.399999999999999" x14ac:dyDescent="0.3">
      <c r="A143" s="104"/>
      <c r="B143" s="23"/>
      <c r="C143" s="34"/>
      <c r="D143" s="34"/>
    </row>
    <row r="144" spans="1:4" ht="20.399999999999999" x14ac:dyDescent="0.3">
      <c r="A144" s="104"/>
      <c r="B144" s="23"/>
      <c r="C144" s="34"/>
      <c r="D144" s="34"/>
    </row>
    <row r="145" spans="1:4" ht="20.399999999999999" x14ac:dyDescent="0.3">
      <c r="A145" s="104"/>
      <c r="B145" s="23"/>
      <c r="C145" s="34"/>
      <c r="D145" s="34"/>
    </row>
    <row r="146" spans="1:4" ht="20.399999999999999" x14ac:dyDescent="0.3">
      <c r="A146" s="104"/>
      <c r="B146" s="23"/>
      <c r="C146" s="34"/>
      <c r="D146" s="34"/>
    </row>
    <row r="147" spans="1:4" ht="20.399999999999999" x14ac:dyDescent="0.3">
      <c r="A147" s="104"/>
      <c r="B147" s="23"/>
      <c r="C147" s="34"/>
      <c r="D147" s="34"/>
    </row>
    <row r="148" spans="1:4" ht="20.399999999999999" x14ac:dyDescent="0.3">
      <c r="A148" s="104"/>
      <c r="B148" s="23"/>
      <c r="C148" s="34"/>
      <c r="D148" s="34"/>
    </row>
    <row r="149" spans="1:4" ht="20.399999999999999" x14ac:dyDescent="0.3">
      <c r="A149" s="104"/>
      <c r="B149" s="23"/>
      <c r="C149" s="34"/>
      <c r="D149" s="34"/>
    </row>
    <row r="150" spans="1:4" ht="20.399999999999999" x14ac:dyDescent="0.3">
      <c r="A150" s="104"/>
      <c r="B150" s="23"/>
      <c r="C150" s="34"/>
      <c r="D150" s="34"/>
    </row>
    <row r="151" spans="1:4" ht="20.399999999999999" x14ac:dyDescent="0.3">
      <c r="A151" s="104"/>
      <c r="B151" s="23"/>
      <c r="C151" s="34"/>
      <c r="D151" s="34"/>
    </row>
    <row r="152" spans="1:4" ht="20.399999999999999" x14ac:dyDescent="0.3">
      <c r="A152" s="104"/>
      <c r="B152" s="23"/>
      <c r="C152" s="34"/>
      <c r="D152" s="34"/>
    </row>
    <row r="153" spans="1:4" ht="20.399999999999999" x14ac:dyDescent="0.3">
      <c r="A153" s="104"/>
      <c r="B153" s="23"/>
      <c r="C153" s="34"/>
      <c r="D153" s="34"/>
    </row>
    <row r="154" spans="1:4" ht="20.399999999999999" x14ac:dyDescent="0.3">
      <c r="A154" s="104"/>
      <c r="B154" s="23"/>
      <c r="C154" s="34"/>
      <c r="D154" s="34"/>
    </row>
    <row r="155" spans="1:4" ht="20.399999999999999" x14ac:dyDescent="0.3">
      <c r="A155" s="104"/>
      <c r="B155" s="23"/>
      <c r="C155" s="34"/>
      <c r="D155" s="34"/>
    </row>
    <row r="156" spans="1:4" ht="20.399999999999999" x14ac:dyDescent="0.3">
      <c r="A156" s="104"/>
      <c r="B156" s="23"/>
      <c r="C156" s="34"/>
      <c r="D156" s="34"/>
    </row>
    <row r="157" spans="1:4" ht="20.399999999999999" x14ac:dyDescent="0.3">
      <c r="A157" s="104"/>
      <c r="B157" s="23"/>
      <c r="C157" s="34"/>
      <c r="D157" s="34"/>
    </row>
    <row r="158" spans="1:4" ht="20.399999999999999" x14ac:dyDescent="0.3">
      <c r="A158" s="104"/>
      <c r="B158" s="23"/>
      <c r="C158" s="34"/>
      <c r="D158" s="34"/>
    </row>
    <row r="159" spans="1:4" ht="20.399999999999999" x14ac:dyDescent="0.3">
      <c r="A159" s="104"/>
      <c r="B159" s="23"/>
      <c r="C159" s="34"/>
      <c r="D159" s="34"/>
    </row>
    <row r="160" spans="1:4" ht="20.399999999999999" x14ac:dyDescent="0.3">
      <c r="A160" s="104"/>
      <c r="B160" s="23"/>
      <c r="C160" s="34"/>
      <c r="D160" s="34"/>
    </row>
    <row r="161" spans="1:4" ht="20.399999999999999" x14ac:dyDescent="0.3">
      <c r="A161" s="104"/>
      <c r="B161" s="23"/>
      <c r="C161" s="34"/>
      <c r="D161" s="34"/>
    </row>
    <row r="162" spans="1:4" ht="20.399999999999999" x14ac:dyDescent="0.3">
      <c r="A162" s="104"/>
      <c r="B162" s="23"/>
      <c r="C162" s="34"/>
      <c r="D162" s="34"/>
    </row>
    <row r="163" spans="1:4" ht="20.399999999999999" x14ac:dyDescent="0.3">
      <c r="A163" s="104"/>
      <c r="B163" s="23"/>
      <c r="C163" s="34"/>
      <c r="D163" s="34"/>
    </row>
    <row r="164" spans="1:4" ht="20.399999999999999" x14ac:dyDescent="0.3">
      <c r="A164" s="104"/>
      <c r="B164" s="23"/>
      <c r="C164" s="34"/>
      <c r="D164" s="34"/>
    </row>
    <row r="165" spans="1:4" ht="20.399999999999999" x14ac:dyDescent="0.3">
      <c r="A165" s="104"/>
      <c r="B165" s="23"/>
      <c r="C165" s="34"/>
      <c r="D165" s="34"/>
    </row>
    <row r="166" spans="1:4" ht="20.399999999999999" x14ac:dyDescent="0.3">
      <c r="A166" s="104"/>
      <c r="B166" s="23"/>
      <c r="C166" s="34"/>
      <c r="D166" s="34"/>
    </row>
    <row r="167" spans="1:4" ht="20.399999999999999" x14ac:dyDescent="0.3">
      <c r="A167" s="104"/>
      <c r="B167" s="23"/>
      <c r="C167" s="34"/>
      <c r="D167" s="34"/>
    </row>
    <row r="168" spans="1:4" ht="20.399999999999999" x14ac:dyDescent="0.3">
      <c r="A168" s="104"/>
      <c r="B168" s="23"/>
      <c r="C168" s="34"/>
      <c r="D168" s="34"/>
    </row>
    <row r="169" spans="1:4" ht="20.399999999999999" x14ac:dyDescent="0.3">
      <c r="A169" s="104"/>
      <c r="B169" s="23"/>
      <c r="C169" s="34"/>
      <c r="D169" s="34"/>
    </row>
    <row r="170" spans="1:4" ht="20.399999999999999" x14ac:dyDescent="0.3">
      <c r="A170" s="104"/>
      <c r="B170" s="23"/>
      <c r="C170" s="34"/>
      <c r="D170" s="34"/>
    </row>
    <row r="171" spans="1:4" ht="20.399999999999999" x14ac:dyDescent="0.3">
      <c r="A171" s="104"/>
      <c r="B171" s="23"/>
      <c r="C171" s="34"/>
      <c r="D171" s="34"/>
    </row>
    <row r="172" spans="1:4" ht="20.399999999999999" x14ac:dyDescent="0.3">
      <c r="A172" s="104"/>
      <c r="B172" s="23"/>
      <c r="C172" s="34"/>
      <c r="D172" s="34"/>
    </row>
    <row r="173" spans="1:4" ht="20.399999999999999" x14ac:dyDescent="0.3">
      <c r="A173" s="104"/>
      <c r="B173" s="23"/>
      <c r="C173" s="34"/>
      <c r="D173" s="34"/>
    </row>
    <row r="174" spans="1:4" ht="20.399999999999999" x14ac:dyDescent="0.3">
      <c r="A174" s="104"/>
      <c r="B174" s="23"/>
      <c r="C174" s="34"/>
      <c r="D174" s="34"/>
    </row>
    <row r="175" spans="1:4" ht="20.399999999999999" x14ac:dyDescent="0.3">
      <c r="A175" s="104"/>
      <c r="B175" s="23"/>
      <c r="C175" s="34"/>
      <c r="D175" s="34"/>
    </row>
    <row r="176" spans="1:4" ht="20.399999999999999" x14ac:dyDescent="0.3">
      <c r="A176" s="104"/>
      <c r="B176" s="23"/>
      <c r="C176" s="34"/>
      <c r="D176" s="34"/>
    </row>
    <row r="177" spans="1:4" ht="20.399999999999999" x14ac:dyDescent="0.3">
      <c r="A177" s="104"/>
      <c r="B177" s="23"/>
      <c r="C177" s="34"/>
      <c r="D177" s="34"/>
    </row>
    <row r="178" spans="1:4" ht="20.399999999999999" x14ac:dyDescent="0.3">
      <c r="A178" s="104"/>
      <c r="B178" s="23"/>
      <c r="C178" s="34"/>
      <c r="D178" s="34"/>
    </row>
    <row r="179" spans="1:4" ht="20.399999999999999" x14ac:dyDescent="0.3">
      <c r="A179" s="104"/>
      <c r="B179" s="23"/>
      <c r="C179" s="34"/>
      <c r="D179" s="34"/>
    </row>
    <row r="180" spans="1:4" ht="20.399999999999999" x14ac:dyDescent="0.3">
      <c r="A180" s="104"/>
      <c r="B180" s="23"/>
      <c r="C180" s="34"/>
      <c r="D180" s="34"/>
    </row>
    <row r="181" spans="1:4" ht="20.399999999999999" x14ac:dyDescent="0.3">
      <c r="A181" s="104"/>
      <c r="B181" s="23"/>
      <c r="C181" s="34"/>
      <c r="D181" s="34"/>
    </row>
    <row r="182" spans="1:4" ht="20.399999999999999" x14ac:dyDescent="0.3">
      <c r="A182" s="104"/>
      <c r="B182" s="23"/>
      <c r="C182" s="34"/>
      <c r="D182" s="34"/>
    </row>
    <row r="183" spans="1:4" ht="20.399999999999999" x14ac:dyDescent="0.3">
      <c r="A183" s="104"/>
      <c r="B183" s="23"/>
      <c r="C183" s="34"/>
      <c r="D183" s="34"/>
    </row>
    <row r="184" spans="1:4" ht="20.399999999999999" x14ac:dyDescent="0.3">
      <c r="A184" s="104"/>
      <c r="B184" s="23"/>
      <c r="C184" s="34"/>
      <c r="D184" s="34"/>
    </row>
    <row r="185" spans="1:4" ht="20.399999999999999" x14ac:dyDescent="0.3">
      <c r="A185" s="104"/>
      <c r="B185" s="23"/>
      <c r="C185" s="34"/>
      <c r="D185" s="34"/>
    </row>
    <row r="186" spans="1:4" ht="20.399999999999999" x14ac:dyDescent="0.3">
      <c r="A186" s="104"/>
      <c r="B186" s="23"/>
      <c r="C186" s="34"/>
      <c r="D186" s="34"/>
    </row>
    <row r="187" spans="1:4" ht="20.399999999999999" x14ac:dyDescent="0.3">
      <c r="A187" s="104"/>
      <c r="B187" s="23"/>
      <c r="C187" s="34"/>
      <c r="D187" s="34"/>
    </row>
    <row r="188" spans="1:4" ht="20.399999999999999" x14ac:dyDescent="0.3">
      <c r="A188" s="104"/>
      <c r="B188" s="23"/>
      <c r="C188" s="34"/>
      <c r="D188" s="34"/>
    </row>
    <row r="189" spans="1:4" ht="20.399999999999999" x14ac:dyDescent="0.3">
      <c r="A189" s="104"/>
      <c r="B189" s="23"/>
      <c r="C189" s="34"/>
      <c r="D189" s="34"/>
    </row>
    <row r="190" spans="1:4" ht="20.399999999999999" x14ac:dyDescent="0.3">
      <c r="A190" s="104"/>
      <c r="B190" s="23"/>
      <c r="C190" s="34"/>
      <c r="D190" s="34"/>
    </row>
    <row r="191" spans="1:4" ht="20.399999999999999" x14ac:dyDescent="0.3">
      <c r="A191" s="104"/>
      <c r="B191" s="23"/>
      <c r="C191" s="34"/>
      <c r="D191" s="34"/>
    </row>
    <row r="192" spans="1:4" ht="20.399999999999999" x14ac:dyDescent="0.3">
      <c r="A192" s="104"/>
      <c r="B192" s="23"/>
      <c r="C192" s="34"/>
      <c r="D192" s="34"/>
    </row>
    <row r="193" spans="1:4" ht="20.399999999999999" x14ac:dyDescent="0.3">
      <c r="A193" s="104"/>
      <c r="B193" s="23"/>
      <c r="C193" s="34"/>
      <c r="D193" s="34"/>
    </row>
    <row r="194" spans="1:4" ht="20.399999999999999" x14ac:dyDescent="0.3">
      <c r="A194" s="104"/>
      <c r="B194" s="23"/>
      <c r="C194" s="34"/>
      <c r="D194" s="34"/>
    </row>
    <row r="195" spans="1:4" ht="20.399999999999999" x14ac:dyDescent="0.3">
      <c r="A195" s="104"/>
      <c r="B195" s="23"/>
      <c r="C195" s="34"/>
      <c r="D195" s="34"/>
    </row>
    <row r="196" spans="1:4" ht="20.399999999999999" x14ac:dyDescent="0.3">
      <c r="A196" s="104"/>
      <c r="B196" s="23"/>
      <c r="C196" s="34"/>
      <c r="D196" s="34"/>
    </row>
    <row r="197" spans="1:4" ht="20.399999999999999" x14ac:dyDescent="0.3">
      <c r="A197" s="104"/>
      <c r="B197" s="23"/>
      <c r="C197" s="34"/>
      <c r="D197" s="34"/>
    </row>
    <row r="198" spans="1:4" ht="20.399999999999999" x14ac:dyDescent="0.3">
      <c r="A198" s="104"/>
      <c r="B198" s="23"/>
      <c r="C198" s="34"/>
      <c r="D198" s="34"/>
    </row>
    <row r="199" spans="1:4" ht="20.399999999999999" x14ac:dyDescent="0.3">
      <c r="A199" s="104"/>
      <c r="B199" s="23"/>
      <c r="C199" s="34"/>
      <c r="D199" s="34"/>
    </row>
    <row r="200" spans="1:4" ht="20.399999999999999" x14ac:dyDescent="0.3">
      <c r="A200" s="104"/>
      <c r="B200" s="23"/>
      <c r="C200" s="34"/>
      <c r="D200" s="34"/>
    </row>
    <row r="201" spans="1:4" ht="20.399999999999999" x14ac:dyDescent="0.3">
      <c r="A201" s="104"/>
      <c r="B201" s="23"/>
      <c r="C201" s="34"/>
      <c r="D201" s="34"/>
    </row>
    <row r="202" spans="1:4" ht="20.399999999999999" x14ac:dyDescent="0.3">
      <c r="A202" s="104"/>
      <c r="B202" s="23"/>
      <c r="C202" s="34"/>
      <c r="D202" s="34"/>
    </row>
    <row r="203" spans="1:4" ht="20.399999999999999" x14ac:dyDescent="0.3">
      <c r="A203" s="104"/>
      <c r="B203" s="23"/>
      <c r="C203" s="34"/>
      <c r="D203" s="34"/>
    </row>
    <row r="204" spans="1:4" ht="20.399999999999999" x14ac:dyDescent="0.3">
      <c r="A204" s="104"/>
      <c r="B204" s="23"/>
      <c r="C204" s="34"/>
      <c r="D204" s="34"/>
    </row>
    <row r="205" spans="1:4" ht="20.399999999999999" x14ac:dyDescent="0.3">
      <c r="A205" s="104"/>
      <c r="B205" s="23"/>
      <c r="C205" s="34"/>
      <c r="D205" s="34"/>
    </row>
    <row r="206" spans="1:4" ht="20.399999999999999" x14ac:dyDescent="0.3">
      <c r="A206" s="104"/>
      <c r="B206" s="23"/>
      <c r="C206" s="34"/>
      <c r="D206" s="34"/>
    </row>
    <row r="207" spans="1:4" ht="20.399999999999999" x14ac:dyDescent="0.3">
      <c r="A207" s="104"/>
      <c r="B207" s="23"/>
      <c r="C207" s="34"/>
      <c r="D207" s="34"/>
    </row>
    <row r="208" spans="1:4" x14ac:dyDescent="0.3">
      <c r="A208" s="84"/>
      <c r="B208" s="23"/>
      <c r="C208" s="23"/>
      <c r="D208" s="23"/>
    </row>
    <row r="209" spans="1:8" ht="20.399999999999999" x14ac:dyDescent="0.3">
      <c r="A209" s="84"/>
      <c r="B209" s="30" t="s">
        <v>85</v>
      </c>
      <c r="C209" s="30" t="s">
        <v>128</v>
      </c>
      <c r="D209" s="33" t="s">
        <v>85</v>
      </c>
      <c r="E209" s="33" t="s">
        <v>128</v>
      </c>
    </row>
    <row r="210" spans="1:8" ht="21" x14ac:dyDescent="0.4">
      <c r="A210" s="84"/>
      <c r="B210" s="31" t="s">
        <v>87</v>
      </c>
      <c r="C210" s="31" t="s">
        <v>56</v>
      </c>
      <c r="D210" t="s">
        <v>87</v>
      </c>
      <c r="F210" t="str">
        <f>IF(NOT(ISBLANK(D210)),D210,IF(NOT(ISBLANK(E210)),"     "&amp;E210,FALSE))</f>
        <v>Afectación Económica o presupuestal</v>
      </c>
      <c r="G210" t="s">
        <v>87</v>
      </c>
      <c r="H210" t="str">
        <f>IF(NOT(ISERROR(MATCH(G210,_xlfn.ANCHORARRAY(B221),0))),F223&amp;"Por favor no seleccionar los criterios de impacto",G210)</f>
        <v>❌Por favor no seleccionar los criterios de impacto</v>
      </c>
    </row>
    <row r="211" spans="1:8" ht="21" x14ac:dyDescent="0.4">
      <c r="A211" s="84"/>
      <c r="B211" s="31" t="s">
        <v>87</v>
      </c>
      <c r="C211" s="31" t="s">
        <v>90</v>
      </c>
      <c r="E211" t="s">
        <v>56</v>
      </c>
      <c r="F211" t="str">
        <f t="shared" ref="F211:F221" si="0">IF(NOT(ISBLANK(D211)),D211,IF(NOT(ISBLANK(E211)),"     "&amp;E211,FALSE))</f>
        <v xml:space="preserve">     Afectación menor a 10 SMLMV .</v>
      </c>
    </row>
    <row r="212" spans="1:8" ht="21" x14ac:dyDescent="0.4">
      <c r="A212" s="84"/>
      <c r="B212" s="31" t="s">
        <v>87</v>
      </c>
      <c r="C212" s="31" t="s">
        <v>91</v>
      </c>
      <c r="E212" t="s">
        <v>90</v>
      </c>
      <c r="F212" t="str">
        <f t="shared" si="0"/>
        <v xml:space="preserve">     Entre 10 y 50 SMLMV </v>
      </c>
    </row>
    <row r="213" spans="1:8" ht="21" x14ac:dyDescent="0.4">
      <c r="A213" s="84"/>
      <c r="B213" s="31" t="s">
        <v>87</v>
      </c>
      <c r="C213" s="31" t="s">
        <v>92</v>
      </c>
      <c r="E213" t="s">
        <v>91</v>
      </c>
      <c r="F213" t="str">
        <f t="shared" si="0"/>
        <v xml:space="preserve">     Entre 50 y 100 SMLMV </v>
      </c>
    </row>
    <row r="214" spans="1:8" ht="21" x14ac:dyDescent="0.4">
      <c r="A214" s="84"/>
      <c r="B214" s="31" t="s">
        <v>87</v>
      </c>
      <c r="C214" s="31" t="s">
        <v>93</v>
      </c>
      <c r="E214" t="s">
        <v>92</v>
      </c>
      <c r="F214" t="str">
        <f t="shared" si="0"/>
        <v xml:space="preserve">     Entre 100 y 500 SMLMV </v>
      </c>
    </row>
    <row r="215" spans="1:8" ht="21" x14ac:dyDescent="0.4">
      <c r="A215" s="84"/>
      <c r="B215" s="31" t="s">
        <v>55</v>
      </c>
      <c r="C215" s="31" t="s">
        <v>94</v>
      </c>
      <c r="E215" t="s">
        <v>93</v>
      </c>
      <c r="F215" t="str">
        <f t="shared" si="0"/>
        <v xml:space="preserve">     Mayor a 500 SMLMV </v>
      </c>
    </row>
    <row r="216" spans="1:8" ht="21" x14ac:dyDescent="0.4">
      <c r="A216" s="84"/>
      <c r="B216" s="31" t="s">
        <v>55</v>
      </c>
      <c r="C216" s="31" t="s">
        <v>95</v>
      </c>
      <c r="D216" t="s">
        <v>55</v>
      </c>
      <c r="F216" t="str">
        <f t="shared" si="0"/>
        <v>Pérdida Reputacional</v>
      </c>
    </row>
    <row r="217" spans="1:8" ht="21" x14ac:dyDescent="0.4">
      <c r="A217" s="84"/>
      <c r="B217" s="31" t="s">
        <v>55</v>
      </c>
      <c r="C217" s="31" t="s">
        <v>97</v>
      </c>
      <c r="E217" t="s">
        <v>94</v>
      </c>
      <c r="F217" t="str">
        <f t="shared" si="0"/>
        <v xml:space="preserve">     El riesgo afecta la imagen de alguna área de la organización</v>
      </c>
    </row>
    <row r="218" spans="1:8" ht="21" x14ac:dyDescent="0.4">
      <c r="A218" s="84"/>
      <c r="B218" s="31" t="s">
        <v>55</v>
      </c>
      <c r="C218" s="31" t="s">
        <v>96</v>
      </c>
      <c r="E218" t="s">
        <v>95</v>
      </c>
      <c r="F218" t="str">
        <f t="shared" si="0"/>
        <v xml:space="preserve">     El riesgo afecta la imagen de la entidad internamente, de conocimiento general, nivel interno, de junta dircetiva y accionistas y/o de provedores</v>
      </c>
    </row>
    <row r="219" spans="1:8" ht="21" x14ac:dyDescent="0.4">
      <c r="A219" s="84"/>
      <c r="B219" s="31" t="s">
        <v>55</v>
      </c>
      <c r="C219" s="31" t="s">
        <v>110</v>
      </c>
      <c r="E219" t="s">
        <v>97</v>
      </c>
      <c r="F219" t="str">
        <f t="shared" si="0"/>
        <v xml:space="preserve">     El riesgo afecta la imagen de la entidad con algunos usuarios de relevancia frente al logro de los objetivos</v>
      </c>
    </row>
    <row r="220" spans="1:8" x14ac:dyDescent="0.3">
      <c r="A220" s="84"/>
      <c r="B220" s="32"/>
      <c r="C220" s="32"/>
      <c r="E220" t="s">
        <v>96</v>
      </c>
      <c r="F220" t="str">
        <f t="shared" si="0"/>
        <v xml:space="preserve">     El riesgo afecta la imagen de de la entidad con efecto publicitario sostenido a nivel de sector administrativo, nivel departamental o municipal</v>
      </c>
    </row>
    <row r="221" spans="1:8" x14ac:dyDescent="0.3">
      <c r="A221" s="84"/>
      <c r="B221" s="32" t="str" cm="1">
        <f t="array" ref="B221:B223">_xlfn.UNIQUE(Tabla1[[#All],[Criterios]])</f>
        <v>Criterios</v>
      </c>
      <c r="C221" s="32"/>
      <c r="E221" t="s">
        <v>110</v>
      </c>
      <c r="F221" t="str">
        <f t="shared" si="0"/>
        <v xml:space="preserve">     El riesgo afecta la imagen de la entidad a nivel nacional, con efecto publicitarios sostenible a nivel país</v>
      </c>
    </row>
    <row r="222" spans="1:8" x14ac:dyDescent="0.3">
      <c r="A222" s="84"/>
      <c r="B222" s="32" t="str">
        <v>Afectación Económica o presupuestal</v>
      </c>
      <c r="C222" s="32"/>
    </row>
    <row r="223" spans="1:8" x14ac:dyDescent="0.3">
      <c r="B223" s="32" t="str">
        <v>Pérdida Reputacional</v>
      </c>
      <c r="C223" s="32"/>
      <c r="F223" s="35" t="s">
        <v>130</v>
      </c>
    </row>
    <row r="224" spans="1:8" x14ac:dyDescent="0.3">
      <c r="B224" s="22"/>
      <c r="C224" s="22"/>
      <c r="F224" s="35" t="s">
        <v>131</v>
      </c>
    </row>
    <row r="225" spans="2:4" x14ac:dyDescent="0.3">
      <c r="B225" s="22"/>
      <c r="C225" s="22"/>
    </row>
    <row r="226" spans="2:4" x14ac:dyDescent="0.3">
      <c r="B226" s="22"/>
      <c r="C226" s="22"/>
    </row>
    <row r="227" spans="2:4" x14ac:dyDescent="0.3">
      <c r="B227" s="22" t="s">
        <v>200</v>
      </c>
      <c r="C227" s="22"/>
      <c r="D227" s="22"/>
    </row>
    <row r="228" spans="2:4" x14ac:dyDescent="0.3">
      <c r="B228" t="s">
        <v>85</v>
      </c>
      <c r="C228" s="22" t="s">
        <v>128</v>
      </c>
      <c r="D228" s="33" t="s">
        <v>201</v>
      </c>
    </row>
    <row r="229" spans="2:4" x14ac:dyDescent="0.3">
      <c r="B229" s="150" t="s">
        <v>203</v>
      </c>
      <c r="C229" s="22" t="s">
        <v>193</v>
      </c>
      <c r="D229" s="148" t="s">
        <v>203</v>
      </c>
    </row>
    <row r="230" spans="2:4" x14ac:dyDescent="0.3">
      <c r="B230" s="150" t="s">
        <v>203</v>
      </c>
      <c r="C230" s="22" t="s">
        <v>194</v>
      </c>
      <c r="D230" s="149" t="s">
        <v>193</v>
      </c>
    </row>
    <row r="231" spans="2:4" x14ac:dyDescent="0.3">
      <c r="B231" s="150" t="s">
        <v>203</v>
      </c>
      <c r="C231" s="22" t="s">
        <v>195</v>
      </c>
      <c r="D231" s="149" t="s">
        <v>194</v>
      </c>
    </row>
    <row r="232" spans="2:4" x14ac:dyDescent="0.3">
      <c r="B232" s="150" t="s">
        <v>204</v>
      </c>
      <c r="C232" s="22" t="s">
        <v>196</v>
      </c>
      <c r="D232" s="149" t="s">
        <v>195</v>
      </c>
    </row>
    <row r="233" spans="2:4" x14ac:dyDescent="0.3">
      <c r="B233" s="150" t="s">
        <v>204</v>
      </c>
      <c r="C233" s="22" t="s">
        <v>197</v>
      </c>
      <c r="D233" s="148" t="s">
        <v>204</v>
      </c>
    </row>
    <row r="234" spans="2:4" x14ac:dyDescent="0.3">
      <c r="B234" s="150" t="s">
        <v>204</v>
      </c>
      <c r="C234" s="22" t="s">
        <v>198</v>
      </c>
      <c r="D234" s="149" t="s">
        <v>196</v>
      </c>
    </row>
    <row r="235" spans="2:4" x14ac:dyDescent="0.3">
      <c r="B235" s="150" t="s">
        <v>204</v>
      </c>
      <c r="C235" s="22" t="s">
        <v>199</v>
      </c>
      <c r="D235" s="149" t="s">
        <v>197</v>
      </c>
    </row>
    <row r="236" spans="2:4" x14ac:dyDescent="0.3">
      <c r="D236" s="149" t="s">
        <v>198</v>
      </c>
    </row>
    <row r="237" spans="2:4" x14ac:dyDescent="0.3">
      <c r="D237" s="149" t="s">
        <v>199</v>
      </c>
    </row>
    <row r="238" spans="2:4" x14ac:dyDescent="0.3">
      <c r="D238" s="148" t="s">
        <v>202</v>
      </c>
    </row>
  </sheetData>
  <mergeCells count="1">
    <mergeCell ref="B1:D1"/>
  </mergeCells>
  <dataValidations count="1">
    <dataValidation type="list" allowBlank="1" showInputMessage="1" showErrorMessage="1" sqref="G210">
      <formula1>$F$210:$F$221</formula1>
    </dataValidation>
  </dataValidations>
  <pageMargins left="0.7" right="0.7" top="0.75" bottom="0.75" header="0.3" footer="0.3"/>
  <pageSetup orientation="portrait"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F4" sqref="F4:F6"/>
    </sheetView>
  </sheetViews>
  <sheetFormatPr baseColWidth="10" defaultColWidth="14.33203125" defaultRowHeight="13.8" x14ac:dyDescent="0.3"/>
  <cols>
    <col min="1" max="2" width="14.33203125" style="89"/>
    <col min="3" max="3" width="17" style="89" customWidth="1"/>
    <col min="4" max="4" width="14.33203125" style="89"/>
    <col min="5" max="5" width="46" style="89" customWidth="1"/>
    <col min="6" max="16384" width="14.33203125" style="89"/>
  </cols>
  <sheetData>
    <row r="1" spans="2:6" ht="24" customHeight="1" thickBot="1" x14ac:dyDescent="0.35">
      <c r="B1" s="403" t="s">
        <v>205</v>
      </c>
      <c r="C1" s="404"/>
      <c r="D1" s="404"/>
      <c r="E1" s="404"/>
      <c r="F1" s="405"/>
    </row>
    <row r="2" spans="2:6" ht="16.2" thickBot="1" x14ac:dyDescent="0.35">
      <c r="B2" s="90"/>
      <c r="C2" s="90"/>
      <c r="D2" s="90"/>
      <c r="E2" s="90"/>
      <c r="F2" s="90"/>
    </row>
    <row r="3" spans="2:6" ht="16.2" thickBot="1" x14ac:dyDescent="0.35">
      <c r="B3" s="407" t="s">
        <v>62</v>
      </c>
      <c r="C3" s="408"/>
      <c r="D3" s="408"/>
      <c r="E3" s="102" t="s">
        <v>63</v>
      </c>
      <c r="F3" s="103" t="s">
        <v>64</v>
      </c>
    </row>
    <row r="4" spans="2:6" ht="31.2" x14ac:dyDescent="0.3">
      <c r="B4" s="409" t="s">
        <v>65</v>
      </c>
      <c r="C4" s="411" t="s">
        <v>12</v>
      </c>
      <c r="D4" s="91" t="s">
        <v>13</v>
      </c>
      <c r="E4" s="92" t="s">
        <v>66</v>
      </c>
      <c r="F4" s="93">
        <v>0.25</v>
      </c>
    </row>
    <row r="5" spans="2:6" ht="46.8" x14ac:dyDescent="0.3">
      <c r="B5" s="410"/>
      <c r="C5" s="412"/>
      <c r="D5" s="94" t="s">
        <v>14</v>
      </c>
      <c r="E5" s="95" t="s">
        <v>67</v>
      </c>
      <c r="F5" s="96">
        <v>0.15</v>
      </c>
    </row>
    <row r="6" spans="2:6" ht="46.8" x14ac:dyDescent="0.3">
      <c r="B6" s="410"/>
      <c r="C6" s="412"/>
      <c r="D6" s="94" t="s">
        <v>15</v>
      </c>
      <c r="E6" s="95" t="s">
        <v>68</v>
      </c>
      <c r="F6" s="96">
        <v>0.1</v>
      </c>
    </row>
    <row r="7" spans="2:6" ht="62.4" x14ac:dyDescent="0.3">
      <c r="B7" s="410"/>
      <c r="C7" s="412" t="s">
        <v>16</v>
      </c>
      <c r="D7" s="94" t="s">
        <v>9</v>
      </c>
      <c r="E7" s="95" t="s">
        <v>69</v>
      </c>
      <c r="F7" s="96">
        <v>0.25</v>
      </c>
    </row>
    <row r="8" spans="2:6" ht="31.2" x14ac:dyDescent="0.3">
      <c r="B8" s="410"/>
      <c r="C8" s="412"/>
      <c r="D8" s="94" t="s">
        <v>8</v>
      </c>
      <c r="E8" s="95" t="s">
        <v>70</v>
      </c>
      <c r="F8" s="96">
        <v>0.15</v>
      </c>
    </row>
    <row r="9" spans="2:6" ht="46.8" x14ac:dyDescent="0.3">
      <c r="B9" s="410" t="s">
        <v>145</v>
      </c>
      <c r="C9" s="412" t="s">
        <v>17</v>
      </c>
      <c r="D9" s="94" t="s">
        <v>18</v>
      </c>
      <c r="E9" s="95" t="s">
        <v>71</v>
      </c>
      <c r="F9" s="97" t="s">
        <v>72</v>
      </c>
    </row>
    <row r="10" spans="2:6" ht="46.8" x14ac:dyDescent="0.3">
      <c r="B10" s="410"/>
      <c r="C10" s="412"/>
      <c r="D10" s="94" t="s">
        <v>19</v>
      </c>
      <c r="E10" s="95" t="s">
        <v>73</v>
      </c>
      <c r="F10" s="97" t="s">
        <v>72</v>
      </c>
    </row>
    <row r="11" spans="2:6" ht="46.8" x14ac:dyDescent="0.3">
      <c r="B11" s="410"/>
      <c r="C11" s="412" t="s">
        <v>20</v>
      </c>
      <c r="D11" s="94" t="s">
        <v>21</v>
      </c>
      <c r="E11" s="95" t="s">
        <v>74</v>
      </c>
      <c r="F11" s="97" t="s">
        <v>72</v>
      </c>
    </row>
    <row r="12" spans="2:6" ht="46.8" x14ac:dyDescent="0.3">
      <c r="B12" s="410"/>
      <c r="C12" s="412"/>
      <c r="D12" s="94" t="s">
        <v>22</v>
      </c>
      <c r="E12" s="95" t="s">
        <v>75</v>
      </c>
      <c r="F12" s="97" t="s">
        <v>72</v>
      </c>
    </row>
    <row r="13" spans="2:6" ht="31.2" x14ac:dyDescent="0.3">
      <c r="B13" s="410"/>
      <c r="C13" s="412" t="s">
        <v>23</v>
      </c>
      <c r="D13" s="94" t="s">
        <v>111</v>
      </c>
      <c r="E13" s="95" t="s">
        <v>114</v>
      </c>
      <c r="F13" s="97" t="s">
        <v>72</v>
      </c>
    </row>
    <row r="14" spans="2:6" ht="16.2" thickBot="1" x14ac:dyDescent="0.35">
      <c r="B14" s="413"/>
      <c r="C14" s="414"/>
      <c r="D14" s="98" t="s">
        <v>112</v>
      </c>
      <c r="E14" s="99" t="s">
        <v>113</v>
      </c>
      <c r="F14" s="100" t="s">
        <v>72</v>
      </c>
    </row>
    <row r="15" spans="2:6" ht="49.5" customHeight="1" x14ac:dyDescent="0.3">
      <c r="B15" s="406" t="s">
        <v>142</v>
      </c>
      <c r="C15" s="406"/>
      <c r="D15" s="406"/>
      <c r="E15" s="406"/>
      <c r="F15" s="406"/>
    </row>
    <row r="16" spans="2:6" ht="27" customHeight="1" x14ac:dyDescent="0.3">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D1" zoomScaleNormal="100" workbookViewId="0">
      <selection activeCell="E2" sqref="E2"/>
    </sheetView>
  </sheetViews>
  <sheetFormatPr baseColWidth="10" defaultRowHeight="14.4" x14ac:dyDescent="0.3"/>
  <cols>
    <col min="1" max="1" width="57.77734375" customWidth="1"/>
    <col min="3" max="3" width="32" bestFit="1" customWidth="1"/>
    <col min="4" max="4" width="119.33203125" bestFit="1" customWidth="1"/>
    <col min="5" max="5" width="81" customWidth="1"/>
  </cols>
  <sheetData>
    <row r="1" spans="1:5" ht="15" thickBot="1" x14ac:dyDescent="0.35">
      <c r="A1" s="144" t="s">
        <v>175</v>
      </c>
      <c r="D1" s="415" t="s">
        <v>176</v>
      </c>
      <c r="E1" s="416"/>
    </row>
    <row r="2" spans="1:5" x14ac:dyDescent="0.3">
      <c r="A2" s="153" t="s">
        <v>270</v>
      </c>
      <c r="D2" s="417" t="s">
        <v>177</v>
      </c>
      <c r="E2" s="152" t="s">
        <v>247</v>
      </c>
    </row>
    <row r="3" spans="1:5" x14ac:dyDescent="0.3">
      <c r="A3" s="154" t="s">
        <v>271</v>
      </c>
      <c r="D3" s="418"/>
      <c r="E3" s="152" t="s">
        <v>248</v>
      </c>
    </row>
    <row r="4" spans="1:5" x14ac:dyDescent="0.3">
      <c r="A4" s="154" t="s">
        <v>272</v>
      </c>
      <c r="D4" s="418"/>
      <c r="E4" s="152" t="s">
        <v>249</v>
      </c>
    </row>
    <row r="5" spans="1:5" x14ac:dyDescent="0.3">
      <c r="A5" s="155" t="s">
        <v>273</v>
      </c>
      <c r="D5" s="419"/>
      <c r="E5" s="152" t="s">
        <v>250</v>
      </c>
    </row>
    <row r="6" spans="1:5" x14ac:dyDescent="0.3">
      <c r="A6" s="156" t="s">
        <v>274</v>
      </c>
      <c r="D6" s="417" t="s">
        <v>178</v>
      </c>
      <c r="E6" s="152" t="s">
        <v>251</v>
      </c>
    </row>
    <row r="7" spans="1:5" x14ac:dyDescent="0.3">
      <c r="A7" s="156" t="s">
        <v>275</v>
      </c>
      <c r="D7" s="418"/>
      <c r="E7" s="152" t="s">
        <v>252</v>
      </c>
    </row>
    <row r="8" spans="1:5" x14ac:dyDescent="0.3">
      <c r="A8" s="155" t="s">
        <v>276</v>
      </c>
      <c r="D8" s="418"/>
      <c r="E8" s="152" t="s">
        <v>253</v>
      </c>
    </row>
    <row r="9" spans="1:5" x14ac:dyDescent="0.3">
      <c r="A9" s="155" t="s">
        <v>277</v>
      </c>
      <c r="D9" s="417" t="s">
        <v>179</v>
      </c>
      <c r="E9" s="152" t="s">
        <v>254</v>
      </c>
    </row>
    <row r="10" spans="1:5" x14ac:dyDescent="0.3">
      <c r="A10" s="157" t="s">
        <v>278</v>
      </c>
      <c r="D10" s="418"/>
      <c r="E10" s="152" t="s">
        <v>255</v>
      </c>
    </row>
    <row r="11" spans="1:5" x14ac:dyDescent="0.3">
      <c r="A11" s="157" t="s">
        <v>279</v>
      </c>
      <c r="D11" s="417" t="s">
        <v>180</v>
      </c>
      <c r="E11" s="152" t="s">
        <v>256</v>
      </c>
    </row>
    <row r="12" spans="1:5" x14ac:dyDescent="0.3">
      <c r="A12" s="157" t="s">
        <v>280</v>
      </c>
      <c r="D12" s="418"/>
      <c r="E12" s="152" t="s">
        <v>257</v>
      </c>
    </row>
    <row r="13" spans="1:5" x14ac:dyDescent="0.3">
      <c r="A13" s="157" t="s">
        <v>281</v>
      </c>
      <c r="D13" s="419"/>
      <c r="E13" s="152" t="s">
        <v>258</v>
      </c>
    </row>
    <row r="14" spans="1:5" x14ac:dyDescent="0.3">
      <c r="A14" s="157" t="s">
        <v>282</v>
      </c>
      <c r="E14" s="152" t="s">
        <v>259</v>
      </c>
    </row>
    <row r="15" spans="1:5" x14ac:dyDescent="0.3">
      <c r="A15" s="157" t="s">
        <v>283</v>
      </c>
      <c r="D15" s="146" t="s">
        <v>184</v>
      </c>
      <c r="E15" s="152" t="s">
        <v>260</v>
      </c>
    </row>
    <row r="16" spans="1:5" x14ac:dyDescent="0.3">
      <c r="A16" s="157" t="s">
        <v>284</v>
      </c>
      <c r="D16" s="147" t="s">
        <v>185</v>
      </c>
      <c r="E16" s="152" t="s">
        <v>261</v>
      </c>
    </row>
    <row r="17" spans="1:7" ht="15" thickBot="1" x14ac:dyDescent="0.35">
      <c r="A17" s="158" t="s">
        <v>285</v>
      </c>
      <c r="D17" s="147" t="s">
        <v>186</v>
      </c>
      <c r="E17" s="152" t="s">
        <v>262</v>
      </c>
    </row>
    <row r="18" spans="1:7" x14ac:dyDescent="0.3">
      <c r="A18" s="145"/>
      <c r="D18" s="147" t="s">
        <v>187</v>
      </c>
      <c r="E18" s="152" t="s">
        <v>263</v>
      </c>
    </row>
    <row r="19" spans="1:7" x14ac:dyDescent="0.3">
      <c r="A19" s="145"/>
      <c r="D19" s="147" t="s">
        <v>188</v>
      </c>
      <c r="E19" s="152" t="s">
        <v>264</v>
      </c>
    </row>
    <row r="20" spans="1:7" x14ac:dyDescent="0.3">
      <c r="A20" s="145"/>
      <c r="D20" s="147" t="s">
        <v>189</v>
      </c>
      <c r="E20" s="152" t="s">
        <v>265</v>
      </c>
    </row>
    <row r="21" spans="1:7" x14ac:dyDescent="0.3">
      <c r="A21" s="147"/>
      <c r="D21" s="147" t="s">
        <v>190</v>
      </c>
      <c r="E21" s="152" t="s">
        <v>266</v>
      </c>
    </row>
    <row r="22" spans="1:7" x14ac:dyDescent="0.3">
      <c r="A22" s="145"/>
      <c r="D22" s="147" t="s">
        <v>191</v>
      </c>
      <c r="E22" s="152" t="s">
        <v>267</v>
      </c>
    </row>
    <row r="23" spans="1:7" x14ac:dyDescent="0.3">
      <c r="A23" s="151"/>
      <c r="E23" s="152" t="s">
        <v>268</v>
      </c>
    </row>
    <row r="24" spans="1:7" x14ac:dyDescent="0.3">
      <c r="A24" s="146" t="s">
        <v>192</v>
      </c>
      <c r="E24" s="152" t="s">
        <v>269</v>
      </c>
    </row>
    <row r="25" spans="1:7" ht="20.399999999999999" x14ac:dyDescent="0.3">
      <c r="A25" s="147" t="s">
        <v>185</v>
      </c>
      <c r="B25" s="30"/>
    </row>
    <row r="26" spans="1:7" ht="21" x14ac:dyDescent="0.4">
      <c r="A26" s="147" t="s">
        <v>186</v>
      </c>
      <c r="B26" s="31"/>
      <c r="F26" t="s">
        <v>87</v>
      </c>
      <c r="G26" t="str">
        <f>IF(NOT(ISERROR(MATCH(F26,_xlfn.ANCHORARRAY(A37),0))),E39&amp;"Por favor no seleccionar los criterios de impacto",F26)</f>
        <v>Afectación Económica o presupuestal</v>
      </c>
    </row>
    <row r="27" spans="1:7" ht="21" x14ac:dyDescent="0.4">
      <c r="A27" s="147" t="s">
        <v>187</v>
      </c>
      <c r="B27" s="31"/>
    </row>
    <row r="28" spans="1:7" ht="21" x14ac:dyDescent="0.4">
      <c r="A28" s="147" t="s">
        <v>188</v>
      </c>
      <c r="B28" s="31"/>
    </row>
    <row r="29" spans="1:7" ht="21" x14ac:dyDescent="0.4">
      <c r="A29" s="147" t="s">
        <v>189</v>
      </c>
      <c r="B29" s="31"/>
    </row>
    <row r="30" spans="1:7" ht="21" x14ac:dyDescent="0.4">
      <c r="A30" s="147" t="s">
        <v>190</v>
      </c>
      <c r="B30" s="31"/>
    </row>
    <row r="31" spans="1:7" ht="21" x14ac:dyDescent="0.4">
      <c r="A31" s="147" t="s">
        <v>191</v>
      </c>
      <c r="B31" s="31"/>
    </row>
    <row r="32" spans="1:7" ht="21" x14ac:dyDescent="0.4">
      <c r="A32" s="31"/>
      <c r="B32" s="31"/>
    </row>
    <row r="33" spans="1:2" ht="21" x14ac:dyDescent="0.4">
      <c r="A33" s="31"/>
      <c r="B33" s="31"/>
    </row>
    <row r="34" spans="1:2" ht="21" x14ac:dyDescent="0.4">
      <c r="A34" s="31"/>
      <c r="B34" s="31"/>
    </row>
    <row r="35" spans="1:2" ht="21" x14ac:dyDescent="0.4">
      <c r="A35" s="31"/>
      <c r="B35" s="31"/>
    </row>
    <row r="36" spans="1:2" x14ac:dyDescent="0.3">
      <c r="A36" s="32"/>
      <c r="B36" s="32"/>
    </row>
  </sheetData>
  <mergeCells count="5">
    <mergeCell ref="D1:E1"/>
    <mergeCell ref="D2:D5"/>
    <mergeCell ref="D6:D8"/>
    <mergeCell ref="D9:D10"/>
    <mergeCell ref="D11:D13"/>
  </mergeCells>
  <conditionalFormatting sqref="E2:E24">
    <cfRule type="duplicateValues" dxfId="0" priority="1"/>
  </conditionalFormatting>
  <dataValidations count="1">
    <dataValidation type="list" allowBlank="1" showInputMessage="1" showErrorMessage="1" sqref="F26">
      <formula1>$F$210:$F$221</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B20" sqref="B20"/>
    </sheetView>
  </sheetViews>
  <sheetFormatPr baseColWidth="10" defaultRowHeight="14.4" x14ac:dyDescent="0.3"/>
  <sheetData>
    <row r="2" spans="2:5" x14ac:dyDescent="0.3">
      <c r="B2" t="s">
        <v>30</v>
      </c>
      <c r="E2" t="s">
        <v>117</v>
      </c>
    </row>
    <row r="3" spans="2:5" x14ac:dyDescent="0.3">
      <c r="B3" t="s">
        <v>31</v>
      </c>
      <c r="E3" t="s">
        <v>116</v>
      </c>
    </row>
    <row r="4" spans="2:5" x14ac:dyDescent="0.3">
      <c r="B4" t="s">
        <v>121</v>
      </c>
      <c r="E4" t="s">
        <v>118</v>
      </c>
    </row>
    <row r="5" spans="2:5" x14ac:dyDescent="0.3">
      <c r="B5" t="s">
        <v>120</v>
      </c>
    </row>
    <row r="8" spans="2:5" x14ac:dyDescent="0.3">
      <c r="B8" t="s">
        <v>83</v>
      </c>
    </row>
    <row r="9" spans="2:5" x14ac:dyDescent="0.3">
      <c r="B9" t="s">
        <v>39</v>
      </c>
    </row>
    <row r="10" spans="2:5" x14ac:dyDescent="0.3">
      <c r="B10" t="s">
        <v>40</v>
      </c>
    </row>
    <row r="11" spans="2:5" x14ac:dyDescent="0.3">
      <c r="B11" t="s">
        <v>211</v>
      </c>
    </row>
    <row r="13" spans="2:5" x14ac:dyDescent="0.3">
      <c r="B13" t="s">
        <v>212</v>
      </c>
    </row>
    <row r="14" spans="2:5" x14ac:dyDescent="0.3">
      <c r="B14" t="s">
        <v>213</v>
      </c>
    </row>
    <row r="15" spans="2:5" x14ac:dyDescent="0.3">
      <c r="B15" t="s">
        <v>214</v>
      </c>
    </row>
    <row r="16" spans="2:5" x14ac:dyDescent="0.3">
      <c r="B16" t="s">
        <v>215</v>
      </c>
    </row>
    <row r="17" spans="2:2" x14ac:dyDescent="0.3">
      <c r="B17" t="s">
        <v>216</v>
      </c>
    </row>
    <row r="18" spans="2:2" x14ac:dyDescent="0.3">
      <c r="B18" t="s">
        <v>217</v>
      </c>
    </row>
    <row r="19" spans="2:2" x14ac:dyDescent="0.3">
      <c r="B19" t="s">
        <v>218</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Procesos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Patricia</cp:lastModifiedBy>
  <cp:lastPrinted>2020-05-13T01:12:22Z</cp:lastPrinted>
  <dcterms:created xsi:type="dcterms:W3CDTF">2020-03-24T23:12:47Z</dcterms:created>
  <dcterms:modified xsi:type="dcterms:W3CDTF">2022-10-07T19:54:35Z</dcterms:modified>
</cp:coreProperties>
</file>